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55" windowHeight="3120" tabRatio="839" activeTab="0"/>
  </bookViews>
  <sheets>
    <sheet name="Frontblad" sheetId="1" r:id="rId1"/>
    <sheet name="Informatie" sheetId="2" r:id="rId2"/>
    <sheet name="Invoerblad" sheetId="3" r:id="rId3"/>
    <sheet name="Logboek zuur te kort" sheetId="4" r:id="rId4"/>
    <sheet name="Logboek traditioneel" sheetId="5" r:id="rId5"/>
    <sheet name="Logboek ontzuren" sheetId="6" r:id="rId6"/>
    <sheet name="Logboek malolactisch" sheetId="7" r:id="rId7"/>
    <sheet name="Simulatieblad" sheetId="8" r:id="rId8"/>
    <sheet name="Opzoekingstabellen" sheetId="9" r:id="rId9"/>
  </sheets>
  <definedNames/>
  <calcPr fullCalcOnLoad="1"/>
</workbook>
</file>

<file path=xl/comments1.xml><?xml version="1.0" encoding="utf-8"?>
<comments xmlns="http://schemas.openxmlformats.org/spreadsheetml/2006/main">
  <authors>
    <author>Etienne</author>
  </authors>
  <commentList>
    <comment ref="A4" authorId="0">
      <text>
        <r>
          <rPr>
            <b/>
            <sz val="8"/>
            <rFont val="Tahoma"/>
            <family val="0"/>
          </rPr>
          <t>Hay:</t>
        </r>
        <r>
          <rPr>
            <sz val="8"/>
            <rFont val="Tahoma"/>
            <family val="0"/>
          </rPr>
          <t xml:space="preserve">
Als amateur wijnmaker wens ik je veel succes met het maken van een lekker wijntje!!!!
Vul de gevraagde gegevens zo getrouw mogelijk in, het zal er toe bijdragen dat alles als waarschijnlijk vanzelfsprekend zal functioneren.
De grote openingen tussen de verschillende onderdelen laten je toe eigen bevindingen, of veranderende technologie, toe te voegen aan de berekeningen zonder al te veel herschrijfwerk.                                                                                                                            De in te voeren waarden zijn in een andere kleur zodat je goed kan zien wat ingevuld is geweest.
</t>
        </r>
        <r>
          <rPr>
            <b/>
            <sz val="8"/>
            <color indexed="10"/>
            <rFont val="Tahoma"/>
            <family val="2"/>
          </rPr>
          <t xml:space="preserve">Dit logboek is een leidraad, geen bijbel, naar mijn bescheiden mening lang van volledig daarom is het ook voortdurend aan verandering toe. </t>
        </r>
        <r>
          <rPr>
            <b/>
            <sz val="8"/>
            <color indexed="12"/>
            <rFont val="Tahoma"/>
            <family val="2"/>
          </rPr>
          <t xml:space="preserve"> Kom daarom regelmatig eens een bezoekje brengen.</t>
        </r>
      </text>
    </comment>
  </commentList>
</comments>
</file>

<file path=xl/comments3.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Vul steeds een nummer in, druivensap is 1 en appelsap is 2, 0 bij afsluiten</t>
        </r>
      </text>
    </comment>
    <comment ref="G16" authorId="0">
      <text>
        <r>
          <rPr>
            <b/>
            <sz val="8"/>
            <rFont val="Tahoma"/>
            <family val="0"/>
          </rPr>
          <t>Hallo:</t>
        </r>
        <r>
          <rPr>
            <sz val="8"/>
            <rFont val="Tahoma"/>
            <family val="0"/>
          </rPr>
          <t xml:space="preserve">
Vul steeds een nummer in, druivensap is 1 en appelsap is 2, 0 bij afsluiten.</t>
        </r>
      </text>
    </comment>
    <comment ref="G91"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F131" authorId="0">
      <text>
        <r>
          <rPr>
            <b/>
            <sz val="8"/>
            <rFont val="Tahoma"/>
            <family val="2"/>
          </rPr>
          <t>Informatie F29 dient hiervoor ingevuld te zijn.</t>
        </r>
        <r>
          <rPr>
            <sz val="8"/>
            <rFont val="Tahoma"/>
            <family val="0"/>
          </rPr>
          <t xml:space="preserve">
</t>
        </r>
      </text>
    </comment>
    <comment ref="F137" authorId="0">
      <text>
        <r>
          <rPr>
            <b/>
            <sz val="8"/>
            <rFont val="Tahoma"/>
            <family val="2"/>
          </rPr>
          <t>Informatie F29 dient hiervoor ingevuld te zijn.</t>
        </r>
      </text>
    </comment>
    <comment ref="F138" authorId="0">
      <text>
        <r>
          <rPr>
            <b/>
            <sz val="8"/>
            <rFont val="Tahoma"/>
            <family val="0"/>
          </rPr>
          <t>Zelf in te vullen</t>
        </r>
        <r>
          <rPr>
            <sz val="8"/>
            <rFont val="Tahoma"/>
            <family val="0"/>
          </rPr>
          <t xml:space="preserve">
</t>
        </r>
      </text>
    </comment>
    <comment ref="F143" authorId="0">
      <text>
        <r>
          <rPr>
            <b/>
            <sz val="8"/>
            <rFont val="Tahoma"/>
            <family val="2"/>
          </rPr>
          <t>Informatie F29 dient hiervoor ingevuld te zijn</t>
        </r>
      </text>
    </comment>
    <comment ref="F144" authorId="0">
      <text>
        <r>
          <rPr>
            <b/>
            <sz val="8"/>
            <rFont val="Tahoma"/>
            <family val="0"/>
          </rPr>
          <t>Zelf in te vullen</t>
        </r>
        <r>
          <rPr>
            <sz val="8"/>
            <rFont val="Tahoma"/>
            <family val="0"/>
          </rPr>
          <t xml:space="preserve">
</t>
        </r>
      </text>
    </comment>
    <comment ref="F151" authorId="0">
      <text>
        <r>
          <rPr>
            <b/>
            <sz val="8"/>
            <rFont val="Tahoma"/>
            <family val="0"/>
          </rPr>
          <t>Gelieve zelf in te vullen</t>
        </r>
        <r>
          <rPr>
            <sz val="8"/>
            <rFont val="Tahoma"/>
            <family val="0"/>
          </rPr>
          <t xml:space="preserve">
</t>
        </r>
      </text>
    </comment>
    <comment ref="F119" authorId="0">
      <text>
        <r>
          <rPr>
            <sz val="8"/>
            <rFont val="Tahoma"/>
            <family val="0"/>
          </rPr>
          <t xml:space="preserve">Wordt ingevuld wanneer traditioneel met water wordt gewerkt.
</t>
        </r>
      </text>
    </comment>
    <comment ref="F121" authorId="0">
      <text>
        <r>
          <rPr>
            <b/>
            <sz val="8"/>
            <rFont val="Tahoma"/>
            <family val="0"/>
          </rPr>
          <t>Zuur bij water is 0, voor een ander zuur gelieve het zuur in te vullen.</t>
        </r>
        <r>
          <rPr>
            <sz val="8"/>
            <rFont val="Tahoma"/>
            <family val="0"/>
          </rPr>
          <t xml:space="preserve">
</t>
        </r>
      </text>
    </comment>
    <comment ref="A104" authorId="0">
      <text>
        <r>
          <rPr>
            <b/>
            <sz val="8"/>
            <rFont val="Tahoma"/>
            <family val="0"/>
          </rPr>
          <t>Hallo:</t>
        </r>
        <r>
          <rPr>
            <sz val="8"/>
            <rFont val="Tahoma"/>
            <family val="0"/>
          </rPr>
          <t xml:space="preserve">
Dit cijfer geeft de samenstelling van de zuren aan.</t>
        </r>
      </text>
    </comment>
    <comment ref="C234" authorId="0">
      <text>
        <r>
          <rPr>
            <b/>
            <sz val="8"/>
            <rFont val="Tahoma"/>
            <family val="0"/>
          </rPr>
          <t>Hallo:</t>
        </r>
        <r>
          <rPr>
            <sz val="8"/>
            <rFont val="Tahoma"/>
            <family val="0"/>
          </rPr>
          <t xml:space="preserve">
De 5 de regel steeds als laatste invullen.</t>
        </r>
      </text>
    </comment>
    <comment ref="F19" authorId="0">
      <text>
        <r>
          <rPr>
            <b/>
            <sz val="8"/>
            <rFont val="Tahoma"/>
            <family val="0"/>
          </rPr>
          <t>Laat de nul staan bij uitwissen, dus nooit uitwissen anders is de formule weg</t>
        </r>
        <r>
          <rPr>
            <sz val="8"/>
            <rFont val="Tahoma"/>
            <family val="0"/>
          </rPr>
          <t xml:space="preserve">
</t>
        </r>
      </text>
    </comment>
    <comment ref="D81" authorId="0">
      <text>
        <r>
          <rPr>
            <b/>
            <sz val="8"/>
            <rFont val="Tahoma"/>
            <family val="0"/>
          </rPr>
          <t>Laat de nul staan bij uitwissen</t>
        </r>
        <r>
          <rPr>
            <sz val="8"/>
            <rFont val="Tahoma"/>
            <family val="0"/>
          </rPr>
          <t xml:space="preserve">
</t>
        </r>
      </text>
    </comment>
    <comment ref="F132" authorId="0">
      <text>
        <r>
          <rPr>
            <b/>
            <sz val="8"/>
            <rFont val="Tahoma"/>
            <family val="0"/>
          </rPr>
          <t>Zelf in te vullen</t>
        </r>
        <r>
          <rPr>
            <sz val="8"/>
            <rFont val="Tahoma"/>
            <family val="0"/>
          </rPr>
          <t xml:space="preserve">
</t>
        </r>
      </text>
    </comment>
    <comment ref="F133" authorId="0">
      <text>
        <r>
          <rPr>
            <b/>
            <sz val="8"/>
            <rFont val="Tahoma"/>
            <family val="0"/>
          </rPr>
          <t>Gelieve zelf in te vullen</t>
        </r>
        <r>
          <rPr>
            <sz val="8"/>
            <rFont val="Tahoma"/>
            <family val="0"/>
          </rPr>
          <t xml:space="preserve">
</t>
        </r>
      </text>
    </comment>
    <comment ref="F139" authorId="0">
      <text>
        <r>
          <rPr>
            <b/>
            <sz val="8"/>
            <rFont val="Tahoma"/>
            <family val="0"/>
          </rPr>
          <t>Gelieve zelf in te vullen</t>
        </r>
        <r>
          <rPr>
            <sz val="8"/>
            <rFont val="Tahoma"/>
            <family val="0"/>
          </rPr>
          <t xml:space="preserve">
</t>
        </r>
      </text>
    </comment>
    <comment ref="F145" authorId="0">
      <text>
        <r>
          <rPr>
            <b/>
            <sz val="8"/>
            <rFont val="Tahoma"/>
            <family val="0"/>
          </rPr>
          <t>Gelieve zelf in te vullen</t>
        </r>
        <r>
          <rPr>
            <sz val="8"/>
            <rFont val="Tahoma"/>
            <family val="0"/>
          </rPr>
          <t xml:space="preserve">
</t>
        </r>
      </text>
    </comment>
    <comment ref="F117" authorId="0">
      <text>
        <r>
          <rPr>
            <b/>
            <sz val="8"/>
            <rFont val="Tahoma"/>
            <family val="0"/>
          </rPr>
          <t>Informatie F27 dient hiervoor ingevuld te zijn</t>
        </r>
        <r>
          <rPr>
            <sz val="8"/>
            <rFont val="Tahoma"/>
            <family val="0"/>
          </rPr>
          <t xml:space="preserve">
</t>
        </r>
      </text>
    </comment>
    <comment ref="F150" authorId="0">
      <text>
        <r>
          <rPr>
            <b/>
            <sz val="8"/>
            <rFont val="Tahoma"/>
            <family val="2"/>
          </rPr>
          <t>Informatie F29 dient hiervoor ingevuld te zijn</t>
        </r>
      </text>
    </comment>
    <comment ref="F156" authorId="0">
      <text>
        <r>
          <rPr>
            <b/>
            <sz val="8"/>
            <rFont val="Tahoma"/>
            <family val="0"/>
          </rPr>
          <t>Informatie F31 dient hievoor ingevuld te zijn</t>
        </r>
        <r>
          <rPr>
            <sz val="8"/>
            <rFont val="Tahoma"/>
            <family val="0"/>
          </rPr>
          <t xml:space="preserve">
</t>
        </r>
      </text>
    </comment>
  </commentList>
</comments>
</file>

<file path=xl/comments4.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0"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C122" authorId="0">
      <text>
        <r>
          <rPr>
            <b/>
            <sz val="8"/>
            <rFont val="Tahoma"/>
            <family val="2"/>
          </rPr>
          <t>Indien het gemeten zuur groter is dan het gewenste zuur, moet er geen zuur bijgevoegd worden</t>
        </r>
        <r>
          <rPr>
            <sz val="8"/>
            <rFont val="Tahoma"/>
            <family val="0"/>
          </rPr>
          <t xml:space="preserve">
</t>
        </r>
      </text>
    </comment>
    <comment ref="I133" authorId="0">
      <text>
        <r>
          <rPr>
            <b/>
            <sz val="8"/>
            <rFont val="Tahoma"/>
            <family val="0"/>
          </rPr>
          <t>Hoi:</t>
        </r>
        <r>
          <rPr>
            <sz val="8"/>
            <rFont val="Tahoma"/>
            <family val="0"/>
          </rPr>
          <t xml:space="preserve">
Geeft uw voorkeur van samenstelling van de zuren, zie tabel hierboven. </t>
        </r>
      </text>
    </comment>
    <comment ref="G297" authorId="0">
      <text>
        <r>
          <rPr>
            <b/>
            <sz val="8"/>
            <rFont val="Tahoma"/>
            <family val="0"/>
          </rPr>
          <t>Hallo:</t>
        </r>
        <r>
          <rPr>
            <sz val="8"/>
            <rFont val="Tahoma"/>
            <family val="0"/>
          </rPr>
          <t xml:space="preserve">
In onderstaande tabel de laatste regel steeds invullen</t>
        </r>
      </text>
    </comment>
    <comment ref="D305" authorId="0">
      <text>
        <r>
          <rPr>
            <b/>
            <sz val="8"/>
            <rFont val="Tahoma"/>
            <family val="0"/>
          </rPr>
          <t>Hallo:</t>
        </r>
        <r>
          <rPr>
            <sz val="8"/>
            <rFont val="Tahoma"/>
            <family val="0"/>
          </rPr>
          <t xml:space="preserve">
steeds als laatste invullen</t>
        </r>
      </text>
    </comment>
    <comment ref="F305" authorId="0">
      <text>
        <r>
          <rPr>
            <b/>
            <sz val="8"/>
            <rFont val="Tahoma"/>
            <family val="0"/>
          </rPr>
          <t>Hallo:</t>
        </r>
        <r>
          <rPr>
            <sz val="8"/>
            <rFont val="Tahoma"/>
            <family val="0"/>
          </rPr>
          <t xml:space="preserve">
Steeds als laatse invullen</t>
        </r>
      </text>
    </comment>
    <comment ref="C153" authorId="0">
      <text>
        <r>
          <rPr>
            <b/>
            <sz val="8"/>
            <rFont val="Tahoma"/>
            <family val="0"/>
          </rPr>
          <t>In te vullen om te onthouden</t>
        </r>
        <r>
          <rPr>
            <sz val="8"/>
            <rFont val="Tahoma"/>
            <family val="0"/>
          </rPr>
          <t xml:space="preserve">
</t>
        </r>
      </text>
    </comment>
    <comment ref="C154" authorId="0">
      <text>
        <r>
          <rPr>
            <b/>
            <sz val="8"/>
            <rFont val="Tahoma"/>
            <family val="0"/>
          </rPr>
          <t>In te vullen om te onthouden</t>
        </r>
        <r>
          <rPr>
            <sz val="8"/>
            <rFont val="Tahoma"/>
            <family val="0"/>
          </rPr>
          <t xml:space="preserve">
</t>
        </r>
      </text>
    </comment>
    <comment ref="C155" authorId="0">
      <text>
        <r>
          <rPr>
            <b/>
            <sz val="8"/>
            <rFont val="Tahoma"/>
            <family val="0"/>
          </rPr>
          <t>In te vullen om te onthouden</t>
        </r>
        <r>
          <rPr>
            <sz val="8"/>
            <rFont val="Tahoma"/>
            <family val="0"/>
          </rPr>
          <t xml:space="preserve">
</t>
        </r>
      </text>
    </comment>
    <comment ref="H153" authorId="0">
      <text>
        <r>
          <rPr>
            <b/>
            <sz val="8"/>
            <rFont val="Tahoma"/>
            <family val="0"/>
          </rPr>
          <t>In te vullen om te onthouden</t>
        </r>
        <r>
          <rPr>
            <sz val="8"/>
            <rFont val="Tahoma"/>
            <family val="0"/>
          </rPr>
          <t xml:space="preserve">
</t>
        </r>
      </text>
    </comment>
    <comment ref="H154" authorId="0">
      <text>
        <r>
          <rPr>
            <b/>
            <sz val="8"/>
            <rFont val="Tahoma"/>
            <family val="0"/>
          </rPr>
          <t>In te vullen om te onthouden</t>
        </r>
        <r>
          <rPr>
            <sz val="8"/>
            <rFont val="Tahoma"/>
            <family val="0"/>
          </rPr>
          <t xml:space="preserve">
</t>
        </r>
      </text>
    </comment>
    <comment ref="H155" authorId="0">
      <text>
        <r>
          <rPr>
            <b/>
            <sz val="8"/>
            <rFont val="Tahoma"/>
            <family val="0"/>
          </rPr>
          <t>In te vullen om te onthouden</t>
        </r>
        <r>
          <rPr>
            <sz val="8"/>
            <rFont val="Tahoma"/>
            <family val="0"/>
          </rPr>
          <t xml:space="preserve">
</t>
        </r>
      </text>
    </comment>
    <comment ref="F177" authorId="0">
      <text>
        <r>
          <rPr>
            <b/>
            <sz val="8"/>
            <color indexed="10"/>
            <rFont val="Tahoma"/>
            <family val="2"/>
          </rPr>
          <t xml:space="preserve">Zuur in te vullen na gemeten te hebben na de toevoegingen.  </t>
        </r>
        <r>
          <rPr>
            <b/>
            <sz val="8"/>
            <color indexed="14"/>
            <rFont val="Tahoma"/>
            <family val="2"/>
          </rPr>
          <t>Moet ingevuld worden.</t>
        </r>
        <r>
          <rPr>
            <sz val="8"/>
            <rFont val="Tahoma"/>
            <family val="0"/>
          </rPr>
          <t xml:space="preserve">
</t>
        </r>
      </text>
    </comment>
  </commentList>
</comments>
</file>

<file path=xl/comments5.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5"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244" authorId="0">
      <text>
        <r>
          <rPr>
            <b/>
            <sz val="8"/>
            <rFont val="Tahoma"/>
            <family val="0"/>
          </rPr>
          <t>Hallo:</t>
        </r>
        <r>
          <rPr>
            <sz val="8"/>
            <rFont val="Tahoma"/>
            <family val="0"/>
          </rPr>
          <t xml:space="preserve">
In onderstaande tabel de laatste regel steeds invullen</t>
        </r>
      </text>
    </comment>
    <comment ref="D252" authorId="0">
      <text>
        <r>
          <rPr>
            <b/>
            <sz val="8"/>
            <rFont val="Tahoma"/>
            <family val="0"/>
          </rPr>
          <t>Hallo:</t>
        </r>
        <r>
          <rPr>
            <sz val="8"/>
            <rFont val="Tahoma"/>
            <family val="0"/>
          </rPr>
          <t xml:space="preserve">
steeds als laatste invullen</t>
        </r>
      </text>
    </comment>
    <comment ref="F252" authorId="0">
      <text>
        <r>
          <rPr>
            <b/>
            <sz val="8"/>
            <rFont val="Tahoma"/>
            <family val="0"/>
          </rPr>
          <t>Hallo:</t>
        </r>
        <r>
          <rPr>
            <sz val="8"/>
            <rFont val="Tahoma"/>
            <family val="0"/>
          </rPr>
          <t xml:space="preserve">
Steeds als laatse invullen</t>
        </r>
      </text>
    </comment>
    <comment ref="C106" authorId="0">
      <text>
        <r>
          <rPr>
            <b/>
            <sz val="8"/>
            <rFont val="Tahoma"/>
            <family val="0"/>
          </rPr>
          <t>Oeps foutje wanneer er onwaar komt te staan zie de zuren na, gemeten zuur moet groter zijn dan gewenst zuur.</t>
        </r>
        <r>
          <rPr>
            <sz val="8"/>
            <rFont val="Tahoma"/>
            <family val="0"/>
          </rPr>
          <t xml:space="preserve">
</t>
        </r>
      </text>
    </comment>
  </commentList>
</comments>
</file>

<file path=xl/comments6.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10"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357" authorId="0">
      <text>
        <r>
          <rPr>
            <b/>
            <sz val="8"/>
            <rFont val="Tahoma"/>
            <family val="0"/>
          </rPr>
          <t>Hallo:</t>
        </r>
        <r>
          <rPr>
            <sz val="8"/>
            <rFont val="Tahoma"/>
            <family val="0"/>
          </rPr>
          <t xml:space="preserve">
In onderstaande tabel de laatste regel steeds invullen</t>
        </r>
      </text>
    </comment>
    <comment ref="D365" authorId="0">
      <text>
        <r>
          <rPr>
            <b/>
            <sz val="8"/>
            <rFont val="Tahoma"/>
            <family val="0"/>
          </rPr>
          <t>Hallo:</t>
        </r>
        <r>
          <rPr>
            <sz val="8"/>
            <rFont val="Tahoma"/>
            <family val="0"/>
          </rPr>
          <t xml:space="preserve">
steeds als laatste invullen</t>
        </r>
      </text>
    </comment>
    <comment ref="F365" authorId="0">
      <text>
        <r>
          <rPr>
            <b/>
            <sz val="8"/>
            <rFont val="Tahoma"/>
            <family val="0"/>
          </rPr>
          <t>Hallo:</t>
        </r>
        <r>
          <rPr>
            <sz val="8"/>
            <rFont val="Tahoma"/>
            <family val="0"/>
          </rPr>
          <t xml:space="preserve">
Steeds als laatse invullen</t>
        </r>
      </text>
    </comment>
    <comment ref="C176" authorId="0">
      <text>
        <r>
          <rPr>
            <b/>
            <sz val="8"/>
            <rFont val="Tahoma"/>
            <family val="0"/>
          </rPr>
          <t>Moet zelf ingevuld worden</t>
        </r>
        <r>
          <rPr>
            <sz val="8"/>
            <rFont val="Tahoma"/>
            <family val="0"/>
          </rPr>
          <t xml:space="preserve">
</t>
        </r>
      </text>
    </comment>
    <comment ref="C178" authorId="0">
      <text>
        <r>
          <rPr>
            <b/>
            <sz val="8"/>
            <rFont val="Tahoma"/>
            <family val="0"/>
          </rPr>
          <t>Moet zelf ingevuld worden</t>
        </r>
        <r>
          <rPr>
            <sz val="8"/>
            <rFont val="Tahoma"/>
            <family val="0"/>
          </rPr>
          <t xml:space="preserve">
</t>
        </r>
      </text>
    </comment>
    <comment ref="C203" authorId="0">
      <text>
        <r>
          <rPr>
            <b/>
            <sz val="8"/>
            <rFont val="Tahoma"/>
            <family val="2"/>
          </rPr>
          <t>Wordt vermeld op invoerblad E91</t>
        </r>
        <r>
          <rPr>
            <sz val="8"/>
            <rFont val="Tahoma"/>
            <family val="0"/>
          </rPr>
          <t xml:space="preserve">
</t>
        </r>
      </text>
    </comment>
    <comment ref="E290" authorId="0">
      <text>
        <r>
          <rPr>
            <b/>
            <sz val="8"/>
            <color indexed="10"/>
            <rFont val="Tahoma"/>
            <family val="2"/>
          </rPr>
          <t>Dit is de gemeten hoeveelheid aan wijn klaar voor afvulling</t>
        </r>
        <r>
          <rPr>
            <sz val="8"/>
            <rFont val="Tahoma"/>
            <family val="0"/>
          </rPr>
          <t xml:space="preserve">
</t>
        </r>
      </text>
    </comment>
    <comment ref="F272" authorId="0">
      <text>
        <r>
          <rPr>
            <b/>
            <sz val="8"/>
            <rFont val="Tahoma"/>
            <family val="0"/>
          </rPr>
          <t>Gelieve zelf in te vullen</t>
        </r>
        <r>
          <rPr>
            <sz val="8"/>
            <rFont val="Tahoma"/>
            <family val="0"/>
          </rPr>
          <t xml:space="preserve">
</t>
        </r>
      </text>
    </comment>
    <comment ref="C103" authorId="0">
      <text>
        <r>
          <rPr>
            <b/>
            <sz val="8"/>
            <rFont val="Tahoma"/>
            <family val="0"/>
          </rPr>
          <t>Oeps foutje wanneer er onwaar  komt te staan moeten de zuren gecontoleerd worden, gemeten moeten tenminste gelijk zijn aan gewenst</t>
        </r>
      </text>
    </comment>
    <comment ref="C99" authorId="0">
      <text>
        <r>
          <rPr>
            <b/>
            <sz val="8"/>
            <rFont val="Tahoma"/>
            <family val="2"/>
          </rPr>
          <t>Oeps foutje wanneer er onwaar komt te staan F170 of F212 of F249 moeten ingevuld worden</t>
        </r>
      </text>
    </comment>
    <comment ref="C297" authorId="0">
      <text>
        <r>
          <rPr>
            <b/>
            <sz val="8"/>
            <rFont val="Tahoma"/>
            <family val="0"/>
          </rPr>
          <t>Wanneer er onwaar staat gelieve de zuren na te zien.</t>
        </r>
        <r>
          <rPr>
            <sz val="8"/>
            <rFont val="Tahoma"/>
            <family val="0"/>
          </rPr>
          <t xml:space="preserve">
</t>
        </r>
      </text>
    </comment>
    <comment ref="G301" authorId="0">
      <text>
        <r>
          <rPr>
            <b/>
            <sz val="8"/>
            <rFont val="Tahoma"/>
            <family val="0"/>
          </rPr>
          <t>Wanneer er onwaar komt te staan gelieve de zuren na te zien.</t>
        </r>
        <r>
          <rPr>
            <sz val="8"/>
            <rFont val="Tahoma"/>
            <family val="0"/>
          </rPr>
          <t xml:space="preserve">
</t>
        </r>
      </text>
    </comment>
    <comment ref="D344" authorId="0">
      <text>
        <r>
          <rPr>
            <sz val="8"/>
            <rFont val="Tahoma"/>
            <family val="0"/>
          </rPr>
          <t xml:space="preserve">Indien een negatief getal staat geen water toevoegen.
</t>
        </r>
      </text>
    </comment>
  </commentList>
</comments>
</file>

<file path=xl/comments7.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16" authorId="0">
      <text>
        <r>
          <rPr>
            <b/>
            <sz val="8"/>
            <rFont val="Tahoma"/>
            <family val="0"/>
          </rPr>
          <t>Hallo:</t>
        </r>
        <r>
          <rPr>
            <sz val="8"/>
            <rFont val="Tahoma"/>
            <family val="0"/>
          </rPr>
          <t xml:space="preserve">
Het cijfer veranderd automatisch, laat het dus staan.</t>
        </r>
      </text>
    </comment>
    <comment ref="G105" authorId="0">
      <text>
        <r>
          <rPr>
            <b/>
            <sz val="8"/>
            <rFont val="Tahoma"/>
            <family val="0"/>
          </rPr>
          <t>Hoi:
Dit moet jammer genoeg ingevuld worden, indien het sap niet voorgeklaard is moet de hoeveelheid liter van de persing genomen worden. De hoeveelheid is kleiner  dan de hoeveelheid van persing.</t>
        </r>
      </text>
    </comment>
    <comment ref="G246" authorId="0">
      <text>
        <r>
          <rPr>
            <b/>
            <sz val="8"/>
            <rFont val="Tahoma"/>
            <family val="0"/>
          </rPr>
          <t>Hallo:</t>
        </r>
        <r>
          <rPr>
            <sz val="8"/>
            <rFont val="Tahoma"/>
            <family val="0"/>
          </rPr>
          <t xml:space="preserve">
In onderstaande tabel de laatste regel steeds invullen</t>
        </r>
      </text>
    </comment>
    <comment ref="D254" authorId="0">
      <text>
        <r>
          <rPr>
            <b/>
            <sz val="8"/>
            <rFont val="Tahoma"/>
            <family val="0"/>
          </rPr>
          <t>Hallo:</t>
        </r>
        <r>
          <rPr>
            <sz val="8"/>
            <rFont val="Tahoma"/>
            <family val="0"/>
          </rPr>
          <t xml:space="preserve">
steeds als laatste invullen</t>
        </r>
      </text>
    </comment>
    <comment ref="F254" authorId="0">
      <text>
        <r>
          <rPr>
            <b/>
            <sz val="8"/>
            <rFont val="Tahoma"/>
            <family val="0"/>
          </rPr>
          <t>Hallo:</t>
        </r>
        <r>
          <rPr>
            <sz val="8"/>
            <rFont val="Tahoma"/>
            <family val="0"/>
          </rPr>
          <t xml:space="preserve">
Steeds als laatse invullen</t>
        </r>
      </text>
    </comment>
  </commentList>
</comments>
</file>

<file path=xl/comments8.xml><?xml version="1.0" encoding="utf-8"?>
<comments xmlns="http://schemas.openxmlformats.org/spreadsheetml/2006/main">
  <authors>
    <author>Etienne</author>
  </authors>
  <commentList>
    <comment ref="A2" authorId="0">
      <text>
        <r>
          <rPr>
            <b/>
            <sz val="8"/>
            <rFont val="Tahoma"/>
            <family val="0"/>
          </rPr>
          <t>Hallo:</t>
        </r>
        <r>
          <rPr>
            <sz val="8"/>
            <rFont val="Tahoma"/>
            <family val="0"/>
          </rPr>
          <t xml:space="preserve">
B16,E16,B18,E18,B24,E24,B26,E26,B32,E32,B34,E24 kunnen ingevuld worden.</t>
        </r>
      </text>
    </comment>
    <comment ref="D38" authorId="0">
      <text>
        <r>
          <rPr>
            <b/>
            <sz val="8"/>
            <rFont val="Tahoma"/>
            <family val="0"/>
          </rPr>
          <t>Hallo:</t>
        </r>
        <r>
          <rPr>
            <sz val="8"/>
            <rFont val="Tahoma"/>
            <family val="0"/>
          </rPr>
          <t xml:space="preserve">
D40,D42,D46 kunnen ingevuld worden</t>
        </r>
      </text>
    </comment>
    <comment ref="D59" authorId="0">
      <text>
        <r>
          <rPr>
            <b/>
            <sz val="8"/>
            <rFont val="Tahoma"/>
            <family val="0"/>
          </rPr>
          <t>Hallo:</t>
        </r>
        <r>
          <rPr>
            <sz val="8"/>
            <rFont val="Tahoma"/>
            <family val="0"/>
          </rPr>
          <t xml:space="preserve">
D61,D63,D65 kunnen ingevuld worden</t>
        </r>
      </text>
    </comment>
    <comment ref="D67" authorId="0">
      <text>
        <r>
          <rPr>
            <b/>
            <sz val="8"/>
            <rFont val="Tahoma"/>
            <family val="0"/>
          </rPr>
          <t>Hallo:</t>
        </r>
        <r>
          <rPr>
            <sz val="8"/>
            <rFont val="Tahoma"/>
            <family val="0"/>
          </rPr>
          <t xml:space="preserve">
Relatie met het aantal liter sap is automatisch gelegd.</t>
        </r>
      </text>
    </comment>
    <comment ref="D69" authorId="0">
      <text>
        <r>
          <rPr>
            <b/>
            <sz val="8"/>
            <rFont val="Tahoma"/>
            <family val="0"/>
          </rPr>
          <t>Hallo:</t>
        </r>
        <r>
          <rPr>
            <sz val="8"/>
            <rFont val="Tahoma"/>
            <family val="0"/>
          </rPr>
          <t xml:space="preserve">
De relatie met het aantal liter sap is automatisch gelegd.</t>
        </r>
      </text>
    </comment>
  </commentList>
</comments>
</file>

<file path=xl/sharedStrings.xml><?xml version="1.0" encoding="utf-8"?>
<sst xmlns="http://schemas.openxmlformats.org/spreadsheetml/2006/main" count="2463" uniqueCount="462">
  <si>
    <r>
      <t>Het invoerblad:</t>
    </r>
    <r>
      <rPr>
        <sz val="10"/>
        <rFont val="Arial"/>
        <family val="0"/>
      </rPr>
      <t xml:space="preserve"> dient om de gemeten gegevens onmiddellijk in te vullen. De in te vullen cijfers</t>
    </r>
  </si>
  <si>
    <t>zijn in het rose geschreven, je weet zo dat ze nieuw zijn. Ze kunnen steeds veranderd worden.</t>
  </si>
  <si>
    <r>
      <t>Het logboek</t>
    </r>
    <r>
      <rPr>
        <sz val="10"/>
        <rFont val="Arial"/>
        <family val="0"/>
      </rPr>
      <t>: is het uiteindelijke wijnboek.</t>
    </r>
  </si>
  <si>
    <r>
      <t>Het simulatieblad</t>
    </r>
    <r>
      <rPr>
        <sz val="10"/>
        <rFont val="Arial"/>
        <family val="0"/>
      </rPr>
      <t>: geeft een mogelijkheid om gegevens te toetsen aan vermoedelijke bevindingen.</t>
    </r>
  </si>
  <si>
    <r>
      <t>De opzoekingstabellen</t>
    </r>
    <r>
      <rPr>
        <sz val="10"/>
        <rFont val="Arial"/>
        <family val="0"/>
      </rPr>
      <t xml:space="preserve">: zijn opgesteld naar VAW gegevens, verder zijn ze een verzameling van  </t>
    </r>
  </si>
  <si>
    <t>veel voorkomende tabellen.</t>
  </si>
  <si>
    <t>Invoerblad</t>
  </si>
  <si>
    <t>Blad 1</t>
  </si>
  <si>
    <t>Naam van de wijn:</t>
  </si>
  <si>
    <t>Wijn nr.:</t>
  </si>
  <si>
    <t>Datum:</t>
  </si>
  <si>
    <t>Invullen van uur notatie is bv.: 15:15</t>
  </si>
  <si>
    <t>Invullen van datum notatie is bv.: 12/12/01</t>
  </si>
  <si>
    <t>Startersamenstelling:</t>
  </si>
  <si>
    <t>Gistrehydratatiemiddel:</t>
  </si>
  <si>
    <t>liter water</t>
  </si>
  <si>
    <t>liter sap</t>
  </si>
  <si>
    <t>Merk:</t>
  </si>
  <si>
    <t>Druivensap is 1</t>
  </si>
  <si>
    <t>Naam:</t>
  </si>
  <si>
    <t>Appelsap is 2</t>
  </si>
  <si>
    <t>Verdere aanvullingen:</t>
  </si>
  <si>
    <t xml:space="preserve">Samenstelling sap: </t>
  </si>
  <si>
    <t>Soortelijk gewicht:</t>
  </si>
  <si>
    <t>Öchsle</t>
  </si>
  <si>
    <t>Volgens V.A.W. tabellen:</t>
  </si>
  <si>
    <t>gram suiker / liter</t>
  </si>
  <si>
    <t>Zuur:</t>
  </si>
  <si>
    <t>gram / liter</t>
  </si>
  <si>
    <t>Uur toevoeging gist aan starter:</t>
  </si>
  <si>
    <t>uur</t>
  </si>
  <si>
    <t>Uur eerste tekenen van gisting:</t>
  </si>
  <si>
    <t>Omgevingstemperatuur:</t>
  </si>
  <si>
    <t>° C</t>
  </si>
  <si>
    <t>Gistras:</t>
  </si>
  <si>
    <t>Houdbaarheidsdatum:</t>
  </si>
  <si>
    <t>Gewicht:</t>
  </si>
  <si>
    <t>gram</t>
  </si>
  <si>
    <t>Extra toevoegingen aan starter:</t>
  </si>
  <si>
    <t>Gistvoeding:</t>
  </si>
  <si>
    <t>Suiker:</t>
  </si>
  <si>
    <t>Citroenzuur:</t>
  </si>
  <si>
    <t>Appelzuur:</t>
  </si>
  <si>
    <t>Wijnsteenzuur:</t>
  </si>
  <si>
    <t>Gemengd zuur B:</t>
  </si>
  <si>
    <t>Gemengde zuren A:</t>
  </si>
  <si>
    <t>Het fruit:</t>
  </si>
  <si>
    <t>Fruitsoorten:</t>
  </si>
  <si>
    <t>Datum pluk:</t>
  </si>
  <si>
    <t>kilogram</t>
  </si>
  <si>
    <t>liter</t>
  </si>
  <si>
    <t>Densiteit en zuur van de verschillende fruitsoorten:</t>
  </si>
  <si>
    <t>Blad 2</t>
  </si>
  <si>
    <t>Toevoegingen aan de most:</t>
  </si>
  <si>
    <t>Sulfiet fruit:</t>
  </si>
  <si>
    <t>Sulfiet most:</t>
  </si>
  <si>
    <t>Pectoënzymen:</t>
  </si>
  <si>
    <t xml:space="preserve">gram /ml </t>
  </si>
  <si>
    <t>Tanine galnoten:</t>
  </si>
  <si>
    <t>Tanine druiven:</t>
  </si>
  <si>
    <t>Bentoniet voorklaring:</t>
  </si>
  <si>
    <t>Actieve kool:(max.8 gr / 10 l)</t>
  </si>
  <si>
    <t>Metingen en bevindingen:</t>
  </si>
  <si>
    <t>Gezamenlijk soortelijk gewicht van het fruit:</t>
  </si>
  <si>
    <t>Gemeten zuur:</t>
  </si>
  <si>
    <t>Gewenst zuur:</t>
  </si>
  <si>
    <t>Gewenst alcoholgehalte:</t>
  </si>
  <si>
    <t>° / liter</t>
  </si>
  <si>
    <t>Correctie van de most:</t>
  </si>
  <si>
    <t>Te veel zuur:</t>
  </si>
  <si>
    <t>Zonder chemische zuur afbouw</t>
  </si>
  <si>
    <t>Neerslagkalk</t>
  </si>
  <si>
    <t>Acidex</t>
  </si>
  <si>
    <t>Hoeveelheid:</t>
  </si>
  <si>
    <t>Neoanticid</t>
  </si>
  <si>
    <t>Blad 3</t>
  </si>
  <si>
    <t>Kalinat</t>
  </si>
  <si>
    <t>(fijnontzuring)</t>
  </si>
  <si>
    <t>gram/liter</t>
  </si>
  <si>
    <t>Zuur zonder chemische afbouw:</t>
  </si>
  <si>
    <t>Zuur van het ontzuringssap:</t>
  </si>
  <si>
    <t>Biologische ontzuring of de malolactische gisting:</t>
  </si>
  <si>
    <t>Temperatuur wijn:</t>
  </si>
  <si>
    <t>Bacterie:</t>
  </si>
  <si>
    <t>Houdbaarheid:</t>
  </si>
  <si>
    <t>Fabrikantsgegevens gebruik:</t>
  </si>
  <si>
    <t>Bewaarplaats bacteriën:</t>
  </si>
  <si>
    <t>Bewaartemperatuur:</t>
  </si>
  <si>
    <t>Manier van rehydrateren van de bacterie:</t>
  </si>
  <si>
    <t>Aanvangsdatum:</t>
  </si>
  <si>
    <t>Uur:</t>
  </si>
  <si>
    <t>Water/wijn:</t>
  </si>
  <si>
    <t>Temperatuur:</t>
  </si>
  <si>
    <t>Gegevens van de wijn voor de aanvang van de biologische zuurafbraak:</t>
  </si>
  <si>
    <t>Ph:</t>
  </si>
  <si>
    <t>S.G.</t>
  </si>
  <si>
    <t xml:space="preserve">Zuur: </t>
  </si>
  <si>
    <t>Vrije sulfietgehalte:</t>
  </si>
  <si>
    <t>mgr / liter</t>
  </si>
  <si>
    <t>Datum toevoeging:</t>
  </si>
  <si>
    <t>Uur toevoeging:</t>
  </si>
  <si>
    <t>Gegevens van de wijn na de biologische zuurafbraak:</t>
  </si>
  <si>
    <t>Datum einde biologische zuurafbouw:</t>
  </si>
  <si>
    <t>Blad 4</t>
  </si>
  <si>
    <t>Overhevelingsdatum na biologische zuur afbouw:</t>
  </si>
  <si>
    <t>Toevoeging van</t>
  </si>
  <si>
    <t>gram sulfiet bij overheveling.</t>
  </si>
  <si>
    <t>Zuur te kort:</t>
  </si>
  <si>
    <t>KOMT ZEER ZELDEN VOOR</t>
  </si>
  <si>
    <t>Gemengd zuur A is 1</t>
  </si>
  <si>
    <t>Gemengd zuur B is 2</t>
  </si>
  <si>
    <t>Maak hier een keuze van de zuren die je wil bij  voegen.</t>
  </si>
  <si>
    <t>Gewone zuren is 3</t>
  </si>
  <si>
    <t>Bij gewone zuren is ook melkzuur inbegrepen.</t>
  </si>
  <si>
    <t>Extra toevoegingen aan de most:</t>
  </si>
  <si>
    <t>Bananen:</t>
  </si>
  <si>
    <t>Honing:</t>
  </si>
  <si>
    <t>Citroen:</t>
  </si>
  <si>
    <t>Appelsien:</t>
  </si>
  <si>
    <t>Rozijnen wit:</t>
  </si>
  <si>
    <t>Rozijnen zwart:</t>
  </si>
  <si>
    <t>Krenten:</t>
  </si>
  <si>
    <t>Toevoegingen van de starter:</t>
  </si>
  <si>
    <t>Aanvangsdatum gisting:</t>
  </si>
  <si>
    <t>Eerste tekenen van de gisting:</t>
  </si>
  <si>
    <t>Pulpgisting:</t>
  </si>
  <si>
    <t>Duur van de pulpgisting:</t>
  </si>
  <si>
    <t>dagen</t>
  </si>
  <si>
    <t>Datum persing:</t>
  </si>
  <si>
    <t>S.G. voor de persing na de pulpgisting:</t>
  </si>
  <si>
    <t>S.G.na de persing na de pulpgisting:</t>
  </si>
  <si>
    <t>Zuur voor de persing na de pulpgisting:</t>
  </si>
  <si>
    <t>Zuur na de persing na de pulpgisting:</t>
  </si>
  <si>
    <t>Totale hoeveelheid aan most na persing:</t>
  </si>
  <si>
    <t>Toevoegingen voor suiker te kort en zuurcorrectie door water:</t>
  </si>
  <si>
    <t>gram suiker</t>
  </si>
  <si>
    <t>Overheveling:</t>
  </si>
  <si>
    <t>Datum</t>
  </si>
  <si>
    <t>Zuur</t>
  </si>
  <si>
    <t>Alcohol °</t>
  </si>
  <si>
    <t>Hoeveelheid in liter</t>
  </si>
  <si>
    <t>Sulfiet in gram</t>
  </si>
  <si>
    <t>Klaring van de wijn:</t>
  </si>
  <si>
    <t>Koude:</t>
  </si>
  <si>
    <t>Kiezelsol - Gelatine klaring:</t>
  </si>
  <si>
    <t>Hoeveelheid kiezelsol:</t>
  </si>
  <si>
    <t>gram / ml</t>
  </si>
  <si>
    <t>Hoeveelheid gelatine:</t>
  </si>
  <si>
    <t>Looistof - Gelatine klaring:</t>
  </si>
  <si>
    <t>Hoeveelheid looistof:</t>
  </si>
  <si>
    <t>Bentoniet klaring:</t>
  </si>
  <si>
    <t>Hoeveelheid bentoniet:</t>
  </si>
  <si>
    <t>Vislijm klaring:</t>
  </si>
  <si>
    <t>Hoeveelheid vislijm:</t>
  </si>
  <si>
    <t>ml</t>
  </si>
  <si>
    <t>Eiwit klaring:</t>
  </si>
  <si>
    <t>eiwitten</t>
  </si>
  <si>
    <t>Actieve kool klaring:</t>
  </si>
  <si>
    <t>Hoeveelheid actieve kool:</t>
  </si>
  <si>
    <t>Filteren:</t>
  </si>
  <si>
    <t>schijven</t>
  </si>
  <si>
    <t>Type:</t>
  </si>
  <si>
    <t>Vrije sulfiet meting:</t>
  </si>
  <si>
    <t>mgram / liter</t>
  </si>
  <si>
    <t>Tonrijping:</t>
  </si>
  <si>
    <t xml:space="preserve">De ton is </t>
  </si>
  <si>
    <t>maal gebruikt geweest.</t>
  </si>
  <si>
    <t>Einddatum</t>
  </si>
  <si>
    <t>Duur:</t>
  </si>
  <si>
    <t>Correctie door toevoeging van sulfiet:</t>
  </si>
  <si>
    <t>Toevoeging van :</t>
  </si>
  <si>
    <t>gram sulfiet</t>
  </si>
  <si>
    <t>Botteling:</t>
  </si>
  <si>
    <t>Behandeling van de kurken:</t>
  </si>
  <si>
    <t>ml glycerol</t>
  </si>
  <si>
    <t>gram zuur</t>
  </si>
  <si>
    <t>Zuursoort:</t>
  </si>
  <si>
    <t>Uiteindelijke toevoegingen van sulfiet, kaliumsorbaat, ascorbinezuur:</t>
  </si>
  <si>
    <t>Aantal flessen:</t>
  </si>
  <si>
    <t>flessen van 25 cl</t>
  </si>
  <si>
    <t>flessen van 75 cl</t>
  </si>
  <si>
    <t>flessen van 1500 cl</t>
  </si>
  <si>
    <t>Densiteitstabel druiven</t>
  </si>
  <si>
    <t>Appel</t>
  </si>
  <si>
    <t>Bessen</t>
  </si>
  <si>
    <t>Andere vruchten</t>
  </si>
  <si>
    <t>Hoeveelheid neoanticid nodig,uitgedrukt in gram, om bij de te ontzurende wijn te voegen, deze tabel samen met onderstaande gebruiken.</t>
  </si>
  <si>
    <t>Gemeten zuur</t>
  </si>
  <si>
    <t>Gewenst zuur</t>
  </si>
  <si>
    <t>gr / l</t>
  </si>
  <si>
    <t xml:space="preserve">Hoeveelheid liter wijn nodig om de neoanticid op te lossen.Deze tabel samen met bovenstaande tabel gebruiken.                    </t>
  </si>
  <si>
    <t>Maximale ontzuringsmogelijkheid</t>
  </si>
  <si>
    <t xml:space="preserve">Deze tabel toont de kleinst bereikbare zuurwaarde (in gram per </t>
  </si>
  <si>
    <t>liter) van het wijnsteenaandeel op het totale meetbare zuur:</t>
  </si>
  <si>
    <t>(voor deze tabel moet men het aandeel van wijnsteenzuur in de wijn kennen)</t>
  </si>
  <si>
    <t>Percentage van ontzuring</t>
  </si>
  <si>
    <t>gr / liter</t>
  </si>
  <si>
    <t>Zuur te kort (in wijnsteenzuur):</t>
  </si>
  <si>
    <t>Steeds in grammen bij te vullen</t>
  </si>
  <si>
    <t>Citroen</t>
  </si>
  <si>
    <t>Wijnsteen</t>
  </si>
  <si>
    <t>Melk 0,5</t>
  </si>
  <si>
    <t>Melk 0,8</t>
  </si>
  <si>
    <t>Melk 0,9</t>
  </si>
  <si>
    <t>Zuur tekort</t>
  </si>
  <si>
    <t xml:space="preserve">Hoeveelheid in gram van de verschillende zuren, om de beide mengsels samen te </t>
  </si>
  <si>
    <t>stellen, om het gewenste zuur te verkrijgen:</t>
  </si>
  <si>
    <t>Mengsel A</t>
  </si>
  <si>
    <t>Mengsel B</t>
  </si>
  <si>
    <t>Simulatieblad</t>
  </si>
  <si>
    <t>Simulaties voor berekenen van zuur, suiker, alcohol, acidex, enz.</t>
  </si>
  <si>
    <t>Sap 1:</t>
  </si>
  <si>
    <t>Sap bekomen van persing, na voorklaring, aangekocht sap, te zure wijn uitgedrukt in liter</t>
  </si>
  <si>
    <t>Sap 2 :</t>
  </si>
  <si>
    <t>2 de sap, ontzuringssap, water, minder zure wijn</t>
  </si>
  <si>
    <t>Zuur 1 :</t>
  </si>
  <si>
    <t>Zuur van de te ontzuren wijn, uitgedrukt in gram per liter</t>
  </si>
  <si>
    <t>Zuur 2 :</t>
  </si>
  <si>
    <t>Zuur  van de bijgevoegde wijn, het ontzuringssap, het water, uitgedrukt in gram per liter</t>
  </si>
  <si>
    <t>Omrekening zuur:</t>
  </si>
  <si>
    <t>gram / liter nog aanwezig</t>
  </si>
  <si>
    <t>S.G. 1:</t>
  </si>
  <si>
    <t>S.G. 2:</t>
  </si>
  <si>
    <t>S.G.:</t>
  </si>
  <si>
    <t>Omrekening alcoholgehalte:</t>
  </si>
  <si>
    <t>Alcohol:</t>
  </si>
  <si>
    <t>° liter</t>
  </si>
  <si>
    <t>Omrekening Acidex:</t>
  </si>
  <si>
    <t>1. Gemeten zuur gehalte most:</t>
  </si>
  <si>
    <t>2. Gewenst zuur gehalte:</t>
  </si>
  <si>
    <t>3. Aantal grammen zuur per liter te ontzuren:</t>
  </si>
  <si>
    <t>4. Aantal liter most:</t>
  </si>
  <si>
    <t>5. Totale hoeveelheid zuur te ontzuren:</t>
  </si>
  <si>
    <t>6. Aantal grammen acidex nodig voor de ontzuring:</t>
  </si>
  <si>
    <t>7.Maximum aantal grammen zuur ter ontzuren:</t>
  </si>
  <si>
    <t>8. Hoeveelheid most die ontzuurd zal worden:</t>
  </si>
  <si>
    <t>9. Most die niet ontzuurd is:</t>
  </si>
  <si>
    <t>Dubbel zout ontzuring:</t>
  </si>
  <si>
    <t>(voor witte wijn maximum tot 8 gr / liter afbreken)</t>
  </si>
  <si>
    <t>(voor rode wijn maximum tot 6 gr / liter afbreken)</t>
  </si>
  <si>
    <t>Aantal liter sap:</t>
  </si>
  <si>
    <t>Toe te voegen neoanticid:</t>
  </si>
  <si>
    <t xml:space="preserve">Bij deze neoanticid dient </t>
  </si>
  <si>
    <t>liter wijn gevoegd te worden</t>
  </si>
  <si>
    <t>Totale starter in liter:</t>
  </si>
  <si>
    <t>Totaal aan zuren toegevoegd:</t>
  </si>
  <si>
    <t>Fruitsoort</t>
  </si>
  <si>
    <t>Aantal kilogram</t>
  </si>
  <si>
    <t>Aantal l na persing</t>
  </si>
  <si>
    <t>Rendement</t>
  </si>
  <si>
    <t>%</t>
  </si>
  <si>
    <t>Eindresultaat</t>
  </si>
  <si>
    <t>Actieve kool:</t>
  </si>
  <si>
    <t>Hoeveelheid aan zuren eventueel toe te voegen per liter (werkt alleen onder 3):</t>
  </si>
  <si>
    <t>Appelzuur</t>
  </si>
  <si>
    <t>Citroen    zuur</t>
  </si>
  <si>
    <t>Wijnsteen            zuur</t>
  </si>
  <si>
    <t>Melkzuur   50%</t>
  </si>
  <si>
    <t>Melkzuur   80%</t>
  </si>
  <si>
    <t>Melkzuur   90%</t>
  </si>
  <si>
    <t>Wijnsteen  zuur</t>
  </si>
  <si>
    <t>De hoeveelheden dienen afzonderlijk gebruikt te worden, dus of wijnsteenzuur, of citroenzuur, of appelzuur of melkzuur.</t>
  </si>
  <si>
    <t>Wanneer gemengde zuren genomen worden, gebruikt men geen melkzuur.</t>
  </si>
  <si>
    <t>Gemengde zuren B:</t>
  </si>
  <si>
    <t>De volgende samenstelling van zuren moet gebruikt worden:</t>
  </si>
  <si>
    <t>gram wijnsteenzuur</t>
  </si>
  <si>
    <t>of</t>
  </si>
  <si>
    <t>gram citroenzuur</t>
  </si>
  <si>
    <t>gram appelzuur</t>
  </si>
  <si>
    <t>Melkzuur:</t>
  </si>
  <si>
    <t>ml / gram</t>
  </si>
  <si>
    <t>Versnijden van wijnen om zuurtekort op te heffen:</t>
  </si>
  <si>
    <t>Aantal liter wijn met te hoog zuurgehalte:</t>
  </si>
  <si>
    <t>Aantal liter wijn met te laag zuurgehalte:</t>
  </si>
  <si>
    <t>Zuur van wijn met te hoog zuurgehalte:</t>
  </si>
  <si>
    <t>Zuur van wijn met te laag zuurgehalte:</t>
  </si>
  <si>
    <t>Aantal liter wijn:</t>
  </si>
  <si>
    <t>liter met een zuur van</t>
  </si>
  <si>
    <t>Werkingsgegevens most na aanpassingen:</t>
  </si>
  <si>
    <t>Aantal liter na aanpassingen:</t>
  </si>
  <si>
    <t>Soortelijk gewicht na aanpassingen:</t>
  </si>
  <si>
    <t>Product</t>
  </si>
  <si>
    <t>Hoeveelheid in gram / 10 liter</t>
  </si>
  <si>
    <t>Gewicht toevoegingen</t>
  </si>
  <si>
    <t>Sulfiet ontsmetting fruit</t>
  </si>
  <si>
    <t>Maximum</t>
  </si>
  <si>
    <t>1,2 gram / 10 kg</t>
  </si>
  <si>
    <t>Sulfiet ontsmetting most</t>
  </si>
  <si>
    <t>1,2 gram / 10 l</t>
  </si>
  <si>
    <t>Gistvoeding</t>
  </si>
  <si>
    <t>3 gram / 10 l</t>
  </si>
  <si>
    <t>Pectoënzymen</t>
  </si>
  <si>
    <t>10 gram / 10 l</t>
  </si>
  <si>
    <t>Bentoniet voorklaring</t>
  </si>
  <si>
    <t>8 gram / 10 l</t>
  </si>
  <si>
    <t>Tanine galnoten</t>
  </si>
  <si>
    <t>5 gram / 10 l</t>
  </si>
  <si>
    <t>Tanine druiven</t>
  </si>
  <si>
    <t>Berekening zuur correctie:</t>
  </si>
  <si>
    <t>Zuurtegraad sap</t>
  </si>
  <si>
    <t>Ontzuringssap</t>
  </si>
  <si>
    <t>Soortelijk gewicht aanpassingen:</t>
  </si>
  <si>
    <t>min</t>
  </si>
  <si>
    <t>suiker / zuur correctie</t>
  </si>
  <si>
    <t>gram suiker in sap / liter</t>
  </si>
  <si>
    <t>Berekening zuur:</t>
  </si>
  <si>
    <t>liter sap op</t>
  </si>
  <si>
    <t>liter ontzuringssap</t>
  </si>
  <si>
    <t>1 liter =</t>
  </si>
  <si>
    <t>liter most=</t>
  </si>
  <si>
    <t>x</t>
  </si>
  <si>
    <t>=</t>
  </si>
  <si>
    <t>Totaal aan most:</t>
  </si>
  <si>
    <t>l sap  +</t>
  </si>
  <si>
    <t>l ontzuringssap =</t>
  </si>
  <si>
    <t>liter most</t>
  </si>
  <si>
    <t>x 18 gram /liter =</t>
  </si>
  <si>
    <t>Gewenst:</t>
  </si>
  <si>
    <t>Totaal:</t>
  </si>
  <si>
    <t>kg suiker</t>
  </si>
  <si>
    <t>Aanwezig:</t>
  </si>
  <si>
    <t>Bij te voegen suiker:</t>
  </si>
  <si>
    <t>kg gewenst</t>
  </si>
  <si>
    <t>kg aanwezig</t>
  </si>
  <si>
    <t>kg suiker bij te voegen</t>
  </si>
  <si>
    <t>1 kilogram suiker geeft een volume vermeerdering van 0,6 liter</t>
  </si>
  <si>
    <t>Bij te voegen ontzuringssap:</t>
  </si>
  <si>
    <t>x 0,6</t>
  </si>
  <si>
    <t>suikercorrectie in liter</t>
  </si>
  <si>
    <t>liter ontzuringssap bij te voegen</t>
  </si>
  <si>
    <t>Toevoegingen van water en suiker:</t>
  </si>
  <si>
    <t>Totaal bij te voegen suiker</t>
  </si>
  <si>
    <t>Kilogram</t>
  </si>
  <si>
    <t>1 ste suiker gift</t>
  </si>
  <si>
    <t>2 de suiker gift</t>
  </si>
  <si>
    <t>3 de suiker gift</t>
  </si>
  <si>
    <t>Totaal bij te voegen water</t>
  </si>
  <si>
    <t>Liter</t>
  </si>
  <si>
    <t>1 ste watergift</t>
  </si>
  <si>
    <t>2 de water gift</t>
  </si>
  <si>
    <t>3 de water gift</t>
  </si>
  <si>
    <t>Overhevelingen:</t>
  </si>
  <si>
    <t>Sulfiet gift in gram</t>
  </si>
  <si>
    <t>Einddatum:</t>
  </si>
  <si>
    <t>Gebruikelijke toevoegingen:</t>
  </si>
  <si>
    <t>Kaliumsorbaat:</t>
  </si>
  <si>
    <t>gram / 10 l</t>
  </si>
  <si>
    <t>Ascorbinezuur:</t>
  </si>
  <si>
    <t>Sulfiet:</t>
  </si>
  <si>
    <t>Toevoegingen van kaliumsorbaat, ascorbinezuur en sulfiet zijn steeds</t>
  </si>
  <si>
    <t xml:space="preserve">                per 10 l en afhankelijk van het afvul soortelijk gewicht.</t>
  </si>
  <si>
    <t>Uiteindelijke toevoegingen:</t>
  </si>
  <si>
    <t>Hieronder worden de zuren vermeld uit 1 en 2:</t>
  </si>
  <si>
    <t>Toegevoegd:</t>
  </si>
  <si>
    <t>Melkzuur</t>
  </si>
  <si>
    <t>Hoeveelheid bijgevoegd:</t>
  </si>
  <si>
    <t>(water of ander sap te gebruiken)</t>
  </si>
  <si>
    <t>Ontzuring door water of een ander minder zuur sap:</t>
  </si>
  <si>
    <t>Ontzuring door een chemisch middel:</t>
  </si>
  <si>
    <t>Zuurtegraad na behandeling:</t>
  </si>
  <si>
    <t>Fijnontzuring wordt na de gisting gebruikt</t>
  </si>
  <si>
    <t>Aantal liter na persing( voor witte wijn):</t>
  </si>
  <si>
    <t>Hoeveelheid liter most na voorklaring (voor witte wijn):</t>
  </si>
  <si>
    <t>Biologische ontzuring of de malolactische gisting, gebeurd na de gisting:</t>
  </si>
  <si>
    <t>Wijnmaken is een facinerende hobby.</t>
  </si>
  <si>
    <t>Meestal zijn de vruchten die men gebruikt te zuur om er een wijn van te maken.</t>
  </si>
  <si>
    <t>Om het zuur te minderen heeft men verschillende mogelijkheden:</t>
  </si>
  <si>
    <t>Voor men aan wijnmaken begint moet men een paar gegevens voor ogen houden.</t>
  </si>
  <si>
    <t>Traditioneel: water of een minder zuur sap</t>
  </si>
  <si>
    <t>Vernieuwend voor een hobby wijnmaker:</t>
  </si>
  <si>
    <t>Ontzuren met neerslagkalk, acidex, neoanticid, kalinat</t>
  </si>
  <si>
    <t>Malolactische ontgisting</t>
  </si>
  <si>
    <t>Vul daarom de te gebruiken methode in  met een 1. Er kan maar een methode gebruikt worden</t>
  </si>
  <si>
    <t>De wijnen behandeld met neerslagkalk, acidex, neoanticid en kalinat moeten zelf gecontroleerd worden op het zuur. De behandeling kan voor of na de gisting gebruikt worden.</t>
  </si>
  <si>
    <t>Datum pulppersing:</t>
  </si>
  <si>
    <t>Logboek zuur te kort</t>
  </si>
  <si>
    <t xml:space="preserve">Uit te proberen op simulatieblad van A16:G20 en overbrengen </t>
  </si>
  <si>
    <t>Mogelijke toevoegingen aan de most:</t>
  </si>
  <si>
    <t>(zelf op te meten)</t>
  </si>
  <si>
    <t>Zuur na toevoegingen:</t>
  </si>
  <si>
    <t>Logboek malolactisch</t>
  </si>
  <si>
    <t>Logboek ontzuren</t>
  </si>
  <si>
    <t>Logboek traditioneel</t>
  </si>
  <si>
    <t>Rabarber:</t>
  </si>
  <si>
    <t xml:space="preserve">kilogram </t>
  </si>
  <si>
    <t>(2 gr kalk/kg geeft een vermindering van 1 gr oxaalzuur</t>
  </si>
  <si>
    <t>/ kg (voor hoeveelheid zie 1 ))</t>
  </si>
  <si>
    <t>(2,5 gr kalk/l geeft een vermindering van 1 gr oxaalzuur</t>
  </si>
  <si>
    <t>/ l (voor hoeveelheid zie 1 ))</t>
  </si>
  <si>
    <t>Het oxaalzuur bij de eerste oogst is ongeveer 6 gr / kg.</t>
  </si>
  <si>
    <t>1. Gewenste hoeveelheid ontzuring per  kilogram</t>
  </si>
  <si>
    <t>1 gram</t>
  </si>
  <si>
    <t>gram toe te voegen</t>
  </si>
  <si>
    <t>4 gram</t>
  </si>
  <si>
    <t>2 gram</t>
  </si>
  <si>
    <t>5 gram</t>
  </si>
  <si>
    <t>3 gram</t>
  </si>
  <si>
    <t>6 gram</t>
  </si>
  <si>
    <t>2. Gewenste hoeveelheid ontzuring per  liter</t>
  </si>
  <si>
    <t>Ontzuring van een sap door middel van neerslagkalk:</t>
  </si>
  <si>
    <t xml:space="preserve">Maximum ontzuring is 4 gr / liter aan 0,67 gr neerslagkalk per gram  </t>
  </si>
  <si>
    <t>vermindering per liter met een maximum van 270 gram / 100 liter</t>
  </si>
  <si>
    <t>Zuurvermindering:</t>
  </si>
  <si>
    <t>1 gram / l</t>
  </si>
  <si>
    <t>2 gram / l</t>
  </si>
  <si>
    <t>3 gram / l</t>
  </si>
  <si>
    <t>4 gram / l</t>
  </si>
  <si>
    <t>Acidex:</t>
  </si>
  <si>
    <r>
      <t xml:space="preserve">Werking:  </t>
    </r>
    <r>
      <rPr>
        <sz val="10"/>
        <rFont val="Arial"/>
        <family val="2"/>
      </rPr>
      <t>Deze methode is het best te gebruiken voor wijnen of sappen waarvan het zuurgehalte</t>
    </r>
  </si>
  <si>
    <t>niet hoger is dan 15 gram wijnsteenzuur per liter. Voornamelijk voor druiven te gebruiken.</t>
  </si>
  <si>
    <t xml:space="preserve">Voeg de Acidex toe aan de vooraf berekende wijn of sap, roer tot er schuimvorming optreed, </t>
  </si>
  <si>
    <t>blijven roeren tot de schuim uit kristaliseerd en naar de bodem zakt. Wacht 10 tot 15 minuten en</t>
  </si>
  <si>
    <t>hevel langs de kraan voorzichtig af. Voeg de niet ontzuurde hoeveelheid wijn bij de afgehevelde</t>
  </si>
  <si>
    <t>en ontrzuurde wijn. Laat een paar uur staan en hevel opnieuw, filter eventueel.</t>
  </si>
  <si>
    <t>Omrekenings tabel voor acidex.</t>
  </si>
  <si>
    <t xml:space="preserve">Controle aan de hand van tabel voor de dosering van Neoanticid bij de  </t>
  </si>
  <si>
    <t>dubbelzout methode</t>
  </si>
  <si>
    <t xml:space="preserve">(voor witte wijn maximum afbraak tot en met </t>
  </si>
  <si>
    <t>8 gr / liter, voor rode wijn afbraak tot maximum 6 gr/l)</t>
  </si>
  <si>
    <t>Toe te voegen neoanticid :</t>
  </si>
  <si>
    <t xml:space="preserve">gram </t>
  </si>
  <si>
    <t>Bij deze neoanticid dient bij</t>
  </si>
  <si>
    <t>liter wijn gevoegd</t>
  </si>
  <si>
    <t>Al roerend de neoanticid bij de wijn doen, blijven roeren tot de schuimvorming weg gaat. Laten bezinken,</t>
  </si>
  <si>
    <t>afhevelen en de niet behandelde wijn er bij voegen.</t>
  </si>
  <si>
    <t>Fijnontzuring door middel van kalinat:</t>
  </si>
  <si>
    <t xml:space="preserve">Bruikbaar voor jonge wijn en wijn. Wanneer er aansluitend een extreme koeling volgt heeft men de </t>
  </si>
  <si>
    <t>mogelijkheid om na enkele dagen de wijn te filteren en af te vullen.</t>
  </si>
  <si>
    <t>Maximale ontzuring is 1 gram per liter, hiervoor heeft men dan 0,67 gr</t>
  </si>
  <si>
    <t>kalinat per liter nodig.</t>
  </si>
  <si>
    <t>De benodigde hoeveelheid kalinat in een beetje water oplossen. Deze oplossing onder constant</t>
  </si>
  <si>
    <t xml:space="preserve">roeren onder de wijn roeren. Men moet op het overschuimen letten. Het beste is de wijn in de </t>
  </si>
  <si>
    <t>winterkoude &lt; 4° enkele dagen te plaatsen. Hierna zal men de ontzuring uitvoeren. Na enkele</t>
  </si>
  <si>
    <t>dagen afhevelen en filteren.</t>
  </si>
  <si>
    <t>Hoeveelheid te behandelen wijn:</t>
  </si>
  <si>
    <t>Toe te voegen kalinat:</t>
  </si>
  <si>
    <t>Uitzonderlijk kan het toch gebeuren dat er een zuur te kort optreed.</t>
  </si>
  <si>
    <r>
      <t xml:space="preserve">Wanneer </t>
    </r>
    <r>
      <rPr>
        <b/>
        <sz val="10"/>
        <color indexed="20"/>
        <rFont val="Arial"/>
        <family val="2"/>
      </rPr>
      <t>C83&lt;C85</t>
    </r>
    <r>
      <rPr>
        <b/>
        <sz val="10"/>
        <color indexed="53"/>
        <rFont val="Arial"/>
        <family val="2"/>
      </rPr>
      <t xml:space="preserve">  neem dan logboek zuur te kort</t>
    </r>
  </si>
  <si>
    <t>Wordt vermeld in Logboek I 133</t>
  </si>
  <si>
    <t>Blad 5</t>
  </si>
  <si>
    <t>Blad 6</t>
  </si>
  <si>
    <t>Zuur te veel:</t>
  </si>
  <si>
    <t>Toevoegingen van water en suiker.</t>
  </si>
  <si>
    <t>Voor berekening zie hieronder</t>
  </si>
  <si>
    <t>Klaren van de wijn:</t>
  </si>
  <si>
    <t>Voor berekening zie hier onder</t>
  </si>
  <si>
    <r>
      <t>Informatie</t>
    </r>
    <r>
      <rPr>
        <sz val="10"/>
        <rFont val="Arial"/>
        <family val="0"/>
      </rPr>
      <t>:het is aangeraden hier een keuze te maken van de manier waarop je de wijn wil maken</t>
    </r>
  </si>
  <si>
    <t>Totale hoeveelheid aan most na pulppersing:</t>
  </si>
  <si>
    <r>
      <t xml:space="preserve">De logboeken kunnen een lijdraad zijn bij het maken van een wijn.  </t>
    </r>
    <r>
      <rPr>
        <b/>
        <sz val="10"/>
        <color indexed="45"/>
        <rFont val="Arial"/>
        <family val="2"/>
      </rPr>
      <t>De andere logboeken worden ook mee ingevuld dus opletten bij de</t>
    </r>
    <r>
      <rPr>
        <b/>
        <sz val="10"/>
        <color indexed="20"/>
        <rFont val="Arial"/>
        <family val="2"/>
      </rPr>
      <t xml:space="preserve"> </t>
    </r>
    <r>
      <rPr>
        <b/>
        <sz val="10"/>
        <color indexed="45"/>
        <rFont val="Arial"/>
        <family val="2"/>
      </rPr>
      <t>keuze</t>
    </r>
    <r>
      <rPr>
        <b/>
        <sz val="10"/>
        <color indexed="20"/>
        <rFont val="Arial"/>
        <family val="2"/>
      </rPr>
      <t xml:space="preserve"> </t>
    </r>
    <r>
      <rPr>
        <b/>
        <sz val="10"/>
        <color indexed="50"/>
        <rFont val="Arial"/>
        <family val="2"/>
      </rPr>
      <t>te kort aan zuur</t>
    </r>
    <r>
      <rPr>
        <b/>
        <sz val="10"/>
        <color indexed="20"/>
        <rFont val="Arial"/>
        <family val="2"/>
      </rPr>
      <t xml:space="preserve">, </t>
    </r>
    <r>
      <rPr>
        <b/>
        <sz val="10"/>
        <color indexed="57"/>
        <rFont val="Arial"/>
        <family val="2"/>
      </rPr>
      <t>traditioneel</t>
    </r>
    <r>
      <rPr>
        <b/>
        <sz val="10"/>
        <color indexed="20"/>
        <rFont val="Arial"/>
        <family val="2"/>
      </rPr>
      <t xml:space="preserve">, </t>
    </r>
    <r>
      <rPr>
        <b/>
        <sz val="10"/>
        <color indexed="10"/>
        <rFont val="Arial"/>
        <family val="2"/>
      </rPr>
      <t>chemisch</t>
    </r>
    <r>
      <rPr>
        <b/>
        <sz val="10"/>
        <color indexed="20"/>
        <rFont val="Arial"/>
        <family val="2"/>
      </rPr>
      <t xml:space="preserve"> of </t>
    </r>
    <r>
      <rPr>
        <b/>
        <sz val="10"/>
        <color indexed="12"/>
        <rFont val="Arial"/>
        <family val="2"/>
      </rPr>
      <t>malolactisch</t>
    </r>
    <r>
      <rPr>
        <b/>
        <sz val="10"/>
        <color indexed="20"/>
        <rFont val="Arial"/>
        <family val="2"/>
      </rPr>
      <t>.      Keuze kan gemaakt worden door te kiezen met een 1.</t>
    </r>
  </si>
  <si>
    <t>ontzuring met water of chemische middelen, traditioneel.</t>
  </si>
  <si>
    <t xml:space="preserve"> Logboek zuur te kort</t>
  </si>
  <si>
    <t>(voor rode wijn F220 invullen)</t>
  </si>
  <si>
    <t>(voor rode wijn is geen voorklaring tenzij rose gemaakt wordt, na geperst te zijn, laten bezinken, afhevelen van bezinksel en G91 invullen)</t>
  </si>
  <si>
    <t>(voor rode wijn zie invoerblad)</t>
  </si>
  <si>
    <t>(voor rode wijn is geen voorklaring tenzij rose gemaakt wordt, na geperst te zijn, laten bezinken, afhevelen van bezinksel waarde wordt gehaald op invoerblad H 91)</t>
  </si>
  <si>
    <t>Invullen</t>
  </si>
  <si>
    <t>Een wijn kan steeds verder malolactisch ontzuurd worden, neen dan de nieuwe waarden over in een nieuw logboek.</t>
  </si>
  <si>
    <t>Blad2</t>
  </si>
  <si>
    <t>Blad 7</t>
  </si>
  <si>
    <t>Blad 8</t>
  </si>
  <si>
    <t>Vul hier zo veel mogelijk gegevens in.</t>
  </si>
  <si>
    <t>Omrekening suiker: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</si>
</sst>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0"/>
    <numFmt numFmtId="173" formatCode="mmm/yyyy"/>
  </numFmts>
  <fonts count="55">
    <font>
      <sz val="10"/>
      <name val="Arial"/>
      <family val="0"/>
    </font>
    <font>
      <u val="single"/>
      <sz val="10"/>
      <color indexed="12"/>
      <name val="Arial"/>
      <family val="0"/>
    </font>
    <font>
      <u val="single"/>
      <sz val="10"/>
      <color indexed="36"/>
      <name val="Arial"/>
      <family val="0"/>
    </font>
    <font>
      <sz val="10"/>
      <color indexed="10"/>
      <name val="Calligrapher"/>
      <family val="0"/>
    </font>
    <font>
      <b/>
      <sz val="10"/>
      <name val="Arial"/>
      <family val="2"/>
    </font>
    <font>
      <b/>
      <sz val="8"/>
      <name val="Tahoma"/>
      <family val="0"/>
    </font>
    <font>
      <sz val="8"/>
      <name val="Tahoma"/>
      <family val="0"/>
    </font>
    <font>
      <i/>
      <sz val="10"/>
      <name val="Arial"/>
      <family val="2"/>
    </font>
    <font>
      <b/>
      <u val="single"/>
      <sz val="18"/>
      <name val="Comic Sans MS"/>
      <family val="4"/>
    </font>
    <font>
      <sz val="10"/>
      <color indexed="14"/>
      <name val="Arial"/>
      <family val="2"/>
    </font>
    <font>
      <b/>
      <sz val="10"/>
      <color indexed="10"/>
      <name val="Arial"/>
      <family val="2"/>
    </font>
    <font>
      <b/>
      <sz val="10"/>
      <color indexed="53"/>
      <name val="Arial"/>
      <family val="2"/>
    </font>
    <font>
      <b/>
      <u val="single"/>
      <sz val="12"/>
      <color indexed="12"/>
      <name val="Copperplate"/>
      <family val="0"/>
    </font>
    <font>
      <b/>
      <u val="single"/>
      <sz val="10"/>
      <color indexed="12"/>
      <name val="Arial"/>
      <family val="0"/>
    </font>
    <font>
      <u val="single"/>
      <sz val="10"/>
      <name val="Arial"/>
      <family val="0"/>
    </font>
    <font>
      <sz val="10"/>
      <color indexed="8"/>
      <name val="CopperDB"/>
      <family val="0"/>
    </font>
    <font>
      <b/>
      <sz val="10"/>
      <color indexed="8"/>
      <name val="CopperDB"/>
      <family val="0"/>
    </font>
    <font>
      <b/>
      <sz val="10"/>
      <color indexed="12"/>
      <name val="Arial"/>
      <family val="0"/>
    </font>
    <font>
      <b/>
      <u val="single"/>
      <sz val="10"/>
      <color indexed="12"/>
      <name val="CopperDB"/>
      <family val="0"/>
    </font>
    <font>
      <b/>
      <u val="single"/>
      <sz val="10"/>
      <name val="Arial"/>
      <family val="0"/>
    </font>
    <font>
      <b/>
      <sz val="10"/>
      <color indexed="14"/>
      <name val="Arial"/>
      <family val="2"/>
    </font>
    <font>
      <u val="single"/>
      <sz val="12"/>
      <name val="Copperplate"/>
      <family val="0"/>
    </font>
    <font>
      <b/>
      <sz val="10"/>
      <name val="Copperplate Gothic Light"/>
      <family val="2"/>
    </font>
    <font>
      <u val="single"/>
      <sz val="10"/>
      <color indexed="8"/>
      <name val="CopperDB"/>
      <family val="0"/>
    </font>
    <font>
      <b/>
      <sz val="10"/>
      <color indexed="17"/>
      <name val="Copperplate Gothic Light"/>
      <family val="2"/>
    </font>
    <font>
      <b/>
      <sz val="10"/>
      <color indexed="19"/>
      <name val="Arial"/>
      <family val="2"/>
    </font>
    <font>
      <b/>
      <sz val="8"/>
      <color indexed="10"/>
      <name val="Century Schoolbook"/>
      <family val="1"/>
    </font>
    <font>
      <b/>
      <sz val="10"/>
      <color indexed="61"/>
      <name val="Arial"/>
      <family val="2"/>
    </font>
    <font>
      <sz val="10"/>
      <color indexed="8"/>
      <name val="Arial"/>
      <family val="2"/>
    </font>
    <font>
      <b/>
      <sz val="8"/>
      <color indexed="10"/>
      <name val="Tahoma"/>
      <family val="2"/>
    </font>
    <font>
      <b/>
      <sz val="10"/>
      <color indexed="10"/>
      <name val="Copperplate Gothic Light"/>
      <family val="2"/>
    </font>
    <font>
      <b/>
      <sz val="8"/>
      <color indexed="18"/>
      <name val="Comic Sans MS"/>
      <family val="4"/>
    </font>
    <font>
      <b/>
      <u val="single"/>
      <sz val="10"/>
      <color indexed="10"/>
      <name val="Arial"/>
      <family val="2"/>
    </font>
    <font>
      <b/>
      <sz val="10"/>
      <color indexed="12"/>
      <name val="Copperplate Gothic Light"/>
      <family val="2"/>
    </font>
    <font>
      <b/>
      <u val="single"/>
      <sz val="10"/>
      <color indexed="57"/>
      <name val="Arial"/>
      <family val="2"/>
    </font>
    <font>
      <u val="single"/>
      <sz val="10"/>
      <color indexed="57"/>
      <name val="Arial"/>
      <family val="2"/>
    </font>
    <font>
      <b/>
      <sz val="9"/>
      <color indexed="10"/>
      <name val="Arial"/>
      <family val="2"/>
    </font>
    <font>
      <b/>
      <sz val="8"/>
      <color indexed="10"/>
      <name val="Arial"/>
      <family val="2"/>
    </font>
    <font>
      <b/>
      <sz val="20"/>
      <name val="Californian FB"/>
      <family val="1"/>
    </font>
    <font>
      <sz val="14"/>
      <name val="Arial"/>
      <family val="2"/>
    </font>
    <font>
      <sz val="12"/>
      <name val="Arial"/>
      <family val="2"/>
    </font>
    <font>
      <sz val="11"/>
      <name val="Arial"/>
      <family val="2"/>
    </font>
    <font>
      <b/>
      <u val="single"/>
      <sz val="10"/>
      <color indexed="8"/>
      <name val="CopperDB"/>
      <family val="0"/>
    </font>
    <font>
      <b/>
      <u val="single"/>
      <sz val="10"/>
      <color indexed="8"/>
      <name val="Arial"/>
      <family val="2"/>
    </font>
    <font>
      <b/>
      <sz val="12"/>
      <color indexed="10"/>
      <name val="Arial"/>
      <family val="2"/>
    </font>
    <font>
      <b/>
      <sz val="10"/>
      <color indexed="20"/>
      <name val="Arial"/>
      <family val="2"/>
    </font>
    <font>
      <b/>
      <sz val="10"/>
      <color indexed="45"/>
      <name val="Arial"/>
      <family val="2"/>
    </font>
    <font>
      <b/>
      <sz val="10"/>
      <color indexed="57"/>
      <name val="Arial"/>
      <family val="2"/>
    </font>
    <font>
      <b/>
      <sz val="10"/>
      <color indexed="50"/>
      <name val="Arial"/>
      <family val="2"/>
    </font>
    <font>
      <b/>
      <sz val="8"/>
      <color indexed="12"/>
      <name val="Tahoma"/>
      <family val="2"/>
    </font>
    <font>
      <b/>
      <sz val="12"/>
      <color indexed="19"/>
      <name val="Arial"/>
      <family val="2"/>
    </font>
    <font>
      <b/>
      <sz val="12"/>
      <color indexed="12"/>
      <name val="Arial"/>
      <family val="2"/>
    </font>
    <font>
      <b/>
      <sz val="12"/>
      <color indexed="17"/>
      <name val="Arial"/>
      <family val="2"/>
    </font>
    <font>
      <b/>
      <sz val="8"/>
      <color indexed="14"/>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
      <patternFill patternType="solid">
        <fgColor indexed="50"/>
        <bgColor indexed="64"/>
      </patternFill>
    </fill>
    <fill>
      <patternFill patternType="solid">
        <fgColor indexed="53"/>
        <bgColor indexed="64"/>
      </patternFill>
    </fill>
    <fill>
      <patternFill patternType="solid">
        <fgColor indexed="47"/>
        <bgColor indexed="64"/>
      </patternFill>
    </fill>
    <fill>
      <patternFill patternType="solid">
        <fgColor indexed="14"/>
        <bgColor indexed="64"/>
      </patternFill>
    </fill>
    <fill>
      <patternFill patternType="solid">
        <fgColor indexed="49"/>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4"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horizontal="center" vertical="center" wrapText="1" shrinkToFit="1"/>
    </xf>
    <xf numFmtId="0" fontId="0" fillId="0" borderId="0" xfId="0" applyAlignment="1">
      <alignment horizontal="center" vertical="justify" wrapText="1" shrinkToFit="1"/>
    </xf>
    <xf numFmtId="0" fontId="7" fillId="0" borderId="0" xfId="0" applyFont="1" applyAlignment="1">
      <alignment/>
    </xf>
    <xf numFmtId="172" fontId="0" fillId="0" borderId="0" xfId="0" applyNumberFormat="1" applyFont="1" applyAlignment="1">
      <alignment horizontal="center" vertical="center" wrapText="1" shrinkToFit="1"/>
    </xf>
    <xf numFmtId="0" fontId="0" fillId="0" borderId="0" xfId="0" applyAlignment="1">
      <alignment horizontal="center"/>
    </xf>
    <xf numFmtId="9" fontId="0" fillId="0" borderId="0" xfId="0" applyNumberFormat="1" applyAlignment="1">
      <alignment horizontal="center"/>
    </xf>
    <xf numFmtId="172" fontId="0" fillId="0" borderId="0" xfId="0" applyNumberFormat="1" applyAlignment="1">
      <alignment horizontal="center"/>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9" fillId="0" borderId="0" xfId="0" applyFont="1" applyAlignment="1">
      <alignment/>
    </xf>
    <xf numFmtId="0" fontId="9" fillId="0" borderId="0" xfId="0" applyFont="1" applyAlignment="1">
      <alignment horizontal="center"/>
    </xf>
    <xf numFmtId="14" fontId="9" fillId="0" borderId="0" xfId="0" applyNumberFormat="1" applyFont="1" applyAlignment="1">
      <alignment horizontal="center"/>
    </xf>
    <xf numFmtId="0" fontId="10" fillId="2" borderId="5"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11" fillId="2" borderId="12" xfId="0" applyFont="1" applyFill="1" applyBorder="1" applyAlignment="1">
      <alignment/>
    </xf>
    <xf numFmtId="0" fontId="0" fillId="2" borderId="13" xfId="0" applyFill="1" applyBorder="1" applyAlignment="1">
      <alignment/>
    </xf>
    <xf numFmtId="0" fontId="0" fillId="2" borderId="14" xfId="0" applyFill="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20" fontId="9" fillId="0" borderId="0" xfId="0" applyNumberFormat="1" applyFont="1" applyAlignment="1">
      <alignment horizontal="center"/>
    </xf>
    <xf numFmtId="0" fontId="16" fillId="3" borderId="0" xfId="0" applyFont="1" applyFill="1" applyAlignment="1">
      <alignment/>
    </xf>
    <xf numFmtId="0" fontId="4" fillId="3" borderId="0" xfId="0" applyFont="1" applyFill="1" applyAlignment="1">
      <alignment/>
    </xf>
    <xf numFmtId="0" fontId="4" fillId="3" borderId="0" xfId="0" applyFont="1" applyFill="1" applyAlignment="1">
      <alignment/>
    </xf>
    <xf numFmtId="0" fontId="17" fillId="0" borderId="0" xfId="0" applyFont="1" applyAlignment="1">
      <alignment/>
    </xf>
    <xf numFmtId="0" fontId="18" fillId="0" borderId="0" xfId="0" applyFont="1" applyAlignment="1">
      <alignment/>
    </xf>
    <xf numFmtId="0" fontId="19" fillId="3" borderId="0" xfId="0" applyFont="1" applyFill="1" applyAlignment="1">
      <alignment/>
    </xf>
    <xf numFmtId="0" fontId="19" fillId="0" borderId="0" xfId="0" applyFont="1" applyAlignment="1">
      <alignment/>
    </xf>
    <xf numFmtId="1" fontId="9" fillId="4" borderId="0" xfId="0" applyNumberFormat="1" applyFont="1" applyFill="1" applyAlignment="1">
      <alignment horizontal="center"/>
    </xf>
    <xf numFmtId="0" fontId="0" fillId="5" borderId="0" xfId="0" applyFill="1" applyAlignment="1">
      <alignment horizontal="center"/>
    </xf>
    <xf numFmtId="0" fontId="10" fillId="0" borderId="0" xfId="0" applyFont="1" applyAlignment="1">
      <alignment/>
    </xf>
    <xf numFmtId="0" fontId="9" fillId="6" borderId="0" xfId="0" applyFont="1" applyFill="1" applyAlignment="1">
      <alignment horizontal="center"/>
    </xf>
    <xf numFmtId="0" fontId="0" fillId="0" borderId="15" xfId="0" applyBorder="1" applyAlignment="1">
      <alignment horizontal="center"/>
    </xf>
    <xf numFmtId="14" fontId="0" fillId="0" borderId="0" xfId="0" applyNumberFormat="1" applyAlignment="1">
      <alignment/>
    </xf>
    <xf numFmtId="0" fontId="17" fillId="7" borderId="0" xfId="0" applyFont="1" applyFill="1" applyAlignment="1">
      <alignment/>
    </xf>
    <xf numFmtId="9" fontId="0" fillId="0" borderId="0" xfId="0" applyNumberFormat="1" applyAlignment="1">
      <alignment/>
    </xf>
    <xf numFmtId="0" fontId="4" fillId="8" borderId="0" xfId="0" applyFont="1" applyFill="1" applyAlignment="1">
      <alignment/>
    </xf>
    <xf numFmtId="9" fontId="4" fillId="8" borderId="0" xfId="0" applyNumberFormat="1" applyFont="1" applyFill="1" applyAlignment="1">
      <alignment/>
    </xf>
    <xf numFmtId="0" fontId="20" fillId="8" borderId="0" xfId="0" applyFont="1" applyFill="1" applyAlignment="1">
      <alignment horizontal="center"/>
    </xf>
    <xf numFmtId="0" fontId="0" fillId="8" borderId="0" xfId="0" applyFill="1" applyAlignment="1">
      <alignment/>
    </xf>
    <xf numFmtId="14" fontId="9" fillId="0" borderId="0" xfId="0" applyNumberFormat="1" applyFont="1" applyAlignment="1">
      <alignment/>
    </xf>
    <xf numFmtId="0" fontId="0" fillId="0" borderId="16" xfId="0" applyBorder="1" applyAlignment="1">
      <alignment horizontal="center" vertical="center" wrapText="1" shrinkToFit="1"/>
    </xf>
    <xf numFmtId="0" fontId="0" fillId="0" borderId="3" xfId="0" applyBorder="1" applyAlignment="1">
      <alignment horizontal="center" vertical="center" wrapText="1" shrinkToFit="1"/>
    </xf>
    <xf numFmtId="14" fontId="9" fillId="0" borderId="4" xfId="0" applyNumberFormat="1" applyFont="1" applyBorder="1" applyAlignment="1">
      <alignment horizontal="center"/>
    </xf>
    <xf numFmtId="0" fontId="23" fillId="0" borderId="0" xfId="0" applyFont="1" applyAlignment="1">
      <alignment/>
    </xf>
    <xf numFmtId="0" fontId="9" fillId="0" borderId="10" xfId="0" applyFont="1" applyBorder="1" applyAlignment="1">
      <alignment horizontal="center"/>
    </xf>
    <xf numFmtId="0" fontId="9" fillId="0" borderId="9" xfId="0" applyFont="1" applyBorder="1" applyAlignment="1">
      <alignment horizontal="center"/>
    </xf>
    <xf numFmtId="0" fontId="0" fillId="0" borderId="10" xfId="0" applyBorder="1" applyAlignment="1">
      <alignment horizontal="center"/>
    </xf>
    <xf numFmtId="0" fontId="9" fillId="0" borderId="8" xfId="0" applyFont="1" applyBorder="1" applyAlignment="1">
      <alignment horizontal="center"/>
    </xf>
    <xf numFmtId="0" fontId="0" fillId="0" borderId="14" xfId="0" applyBorder="1" applyAlignment="1">
      <alignment horizontal="center"/>
    </xf>
    <xf numFmtId="14" fontId="0" fillId="0" borderId="0" xfId="0" applyNumberFormat="1" applyAlignment="1">
      <alignment horizontal="center"/>
    </xf>
    <xf numFmtId="0" fontId="21" fillId="0" borderId="0" xfId="0" applyFont="1" applyAlignment="1">
      <alignment/>
    </xf>
    <xf numFmtId="20" fontId="0" fillId="0" borderId="0" xfId="0" applyNumberFormat="1" applyAlignment="1">
      <alignment horizontal="center"/>
    </xf>
    <xf numFmtId="0" fontId="22" fillId="0" borderId="0" xfId="0" applyFont="1" applyAlignment="1">
      <alignment/>
    </xf>
    <xf numFmtId="1" fontId="0" fillId="0" borderId="0" xfId="0" applyNumberFormat="1" applyAlignment="1">
      <alignment horizontal="center"/>
    </xf>
    <xf numFmtId="2" fontId="0" fillId="0" borderId="0" xfId="0" applyNumberFormat="1" applyAlignment="1">
      <alignment horizontal="center"/>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172" fontId="0" fillId="0" borderId="1" xfId="0" applyNumberForma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1" fontId="0" fillId="0" borderId="16" xfId="0" applyNumberFormat="1" applyBorder="1" applyAlignment="1">
      <alignment horizontal="center"/>
    </xf>
    <xf numFmtId="172" fontId="0" fillId="0" borderId="16" xfId="0" applyNumberForma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172" fontId="0" fillId="0" borderId="13" xfId="0" applyNumberFormat="1" applyBorder="1"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172" fontId="0" fillId="0" borderId="5" xfId="0" applyNumberFormat="1" applyBorder="1" applyAlignment="1">
      <alignment horizontal="center"/>
    </xf>
    <xf numFmtId="0" fontId="0" fillId="0" borderId="7" xfId="0" applyBorder="1" applyAlignment="1">
      <alignment horizontal="center"/>
    </xf>
    <xf numFmtId="14" fontId="0" fillId="0" borderId="16" xfId="0" applyNumberFormat="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11" xfId="0" applyBorder="1" applyAlignment="1">
      <alignment horizontal="center"/>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14" fillId="0" borderId="0" xfId="0" applyFont="1" applyAlignment="1">
      <alignment/>
    </xf>
    <xf numFmtId="0" fontId="0" fillId="0" borderId="0" xfId="0" applyBorder="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0" xfId="0" applyFont="1" applyAlignment="1">
      <alignment horizontal="center"/>
    </xf>
    <xf numFmtId="0" fontId="17" fillId="0" borderId="0" xfId="0" applyFont="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0" fillId="0" borderId="16" xfId="0" applyBorder="1" applyAlignment="1">
      <alignment horizontal="center" vertical="center"/>
    </xf>
    <xf numFmtId="0" fontId="9" fillId="4" borderId="0" xfId="0" applyFont="1" applyFill="1" applyAlignment="1">
      <alignment horizontal="center"/>
    </xf>
    <xf numFmtId="0" fontId="9" fillId="0" borderId="16" xfId="0" applyFont="1" applyBorder="1" applyAlignment="1">
      <alignment horizontal="center"/>
    </xf>
    <xf numFmtId="0" fontId="28" fillId="0" borderId="0" xfId="0" applyFont="1" applyAlignment="1">
      <alignment horizontal="center"/>
    </xf>
    <xf numFmtId="0" fontId="0" fillId="3" borderId="0" xfId="0" applyFill="1" applyAlignment="1">
      <alignment horizontal="center"/>
    </xf>
    <xf numFmtId="0" fontId="42" fillId="8" borderId="0" xfId="0" applyFont="1" applyFill="1" applyAlignment="1">
      <alignment/>
    </xf>
    <xf numFmtId="0" fontId="19" fillId="8" borderId="0" xfId="0" applyFont="1" applyFill="1" applyAlignment="1">
      <alignment/>
    </xf>
    <xf numFmtId="0" fontId="43" fillId="8" borderId="0" xfId="0" applyFont="1" applyFill="1" applyAlignment="1">
      <alignment/>
    </xf>
    <xf numFmtId="0" fontId="28" fillId="8" borderId="0" xfId="0" applyFont="1" applyFill="1" applyAlignment="1">
      <alignment/>
    </xf>
    <xf numFmtId="172" fontId="9" fillId="0" borderId="0" xfId="0" applyNumberFormat="1" applyFont="1" applyAlignment="1">
      <alignment horizontal="center"/>
    </xf>
    <xf numFmtId="14" fontId="9" fillId="0" borderId="16" xfId="0" applyNumberFormat="1" applyFont="1" applyBorder="1" applyAlignment="1">
      <alignment horizontal="center"/>
    </xf>
    <xf numFmtId="0" fontId="0" fillId="0" borderId="0" xfId="0" applyAlignment="1">
      <alignment horizontal="center" vertical="center"/>
    </xf>
    <xf numFmtId="172" fontId="0" fillId="0" borderId="0" xfId="0" applyNumberFormat="1" applyAlignment="1">
      <alignment horizontal="center" vertical="center" wrapText="1" shrinkToFit="1"/>
    </xf>
    <xf numFmtId="14" fontId="9" fillId="0" borderId="8" xfId="0" applyNumberFormat="1" applyFont="1" applyBorder="1" applyAlignment="1">
      <alignment horizontal="center"/>
    </xf>
    <xf numFmtId="0" fontId="9" fillId="0" borderId="3" xfId="0" applyFont="1" applyBorder="1" applyAlignment="1">
      <alignment horizontal="center"/>
    </xf>
    <xf numFmtId="0" fontId="9" fillId="0" borderId="1" xfId="0" applyFont="1" applyBorder="1" applyAlignment="1">
      <alignment horizontal="center"/>
    </xf>
    <xf numFmtId="0" fontId="0" fillId="0" borderId="13" xfId="0" applyBorder="1" applyAlignment="1">
      <alignment horizontal="center" vertical="center" wrapText="1" shrinkToFit="1"/>
    </xf>
    <xf numFmtId="2" fontId="9" fillId="0" borderId="0" xfId="0" applyNumberFormat="1" applyFont="1" applyAlignment="1">
      <alignment horizontal="center"/>
    </xf>
    <xf numFmtId="0" fontId="9" fillId="9" borderId="0" xfId="0" applyFont="1" applyFill="1" applyAlignment="1">
      <alignment horizontal="center"/>
    </xf>
    <xf numFmtId="0" fontId="0" fillId="0" borderId="12" xfId="0" applyBorder="1" applyAlignment="1">
      <alignment/>
    </xf>
    <xf numFmtId="0" fontId="0" fillId="0" borderId="13" xfId="0" applyBorder="1" applyAlignment="1">
      <alignment/>
    </xf>
    <xf numFmtId="0" fontId="50" fillId="0" borderId="0" xfId="0" applyFont="1" applyAlignment="1">
      <alignment horizontal="center"/>
    </xf>
    <xf numFmtId="0" fontId="45"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41" fillId="9" borderId="5" xfId="0" applyFont="1" applyFill="1" applyBorder="1" applyAlignment="1">
      <alignment horizontal="center" vertical="center" wrapText="1" shrinkToFit="1"/>
    </xf>
    <xf numFmtId="0" fontId="41" fillId="9" borderId="6" xfId="0" applyFont="1" applyFill="1" applyBorder="1" applyAlignment="1">
      <alignment horizontal="center" vertical="center" wrapText="1" shrinkToFit="1"/>
    </xf>
    <xf numFmtId="0" fontId="41" fillId="9" borderId="7" xfId="0" applyFont="1" applyFill="1" applyBorder="1" applyAlignment="1">
      <alignment horizontal="center" vertical="center" wrapText="1" shrinkToFit="1"/>
    </xf>
    <xf numFmtId="0" fontId="41" fillId="9" borderId="12" xfId="0" applyFont="1" applyFill="1" applyBorder="1" applyAlignment="1">
      <alignment horizontal="center" vertical="center" wrapText="1" shrinkToFit="1"/>
    </xf>
    <xf numFmtId="0" fontId="41" fillId="9" borderId="13" xfId="0" applyFont="1" applyFill="1" applyBorder="1" applyAlignment="1">
      <alignment horizontal="center" vertical="center" wrapText="1" shrinkToFit="1"/>
    </xf>
    <xf numFmtId="0" fontId="41" fillId="9" borderId="14" xfId="0" applyFont="1" applyFill="1" applyBorder="1" applyAlignment="1">
      <alignment horizontal="center" vertical="center" wrapText="1" shrinkToFit="1"/>
    </xf>
    <xf numFmtId="0" fontId="40" fillId="0" borderId="0" xfId="0" applyFont="1" applyAlignment="1">
      <alignment horizontal="center" vertical="center" wrapText="1" shrinkToFit="1"/>
    </xf>
    <xf numFmtId="0" fontId="0" fillId="0" borderId="0" xfId="0" applyAlignment="1">
      <alignment vertical="center" wrapText="1" shrinkToFit="1"/>
    </xf>
    <xf numFmtId="0" fontId="40" fillId="0" borderId="0" xfId="0" applyFont="1" applyAlignment="1">
      <alignment horizontal="left" vertical="center" wrapText="1" shrinkToFit="1"/>
    </xf>
    <xf numFmtId="0" fontId="44" fillId="0" borderId="0" xfId="0" applyFont="1" applyAlignment="1">
      <alignment horizontal="center" vertical="center" wrapText="1" shrinkToFit="1"/>
    </xf>
    <xf numFmtId="0" fontId="52" fillId="0" borderId="0" xfId="0" applyFont="1" applyAlignment="1">
      <alignment horizontal="center"/>
    </xf>
    <xf numFmtId="0" fontId="44" fillId="0" borderId="0" xfId="0" applyFont="1" applyAlignment="1">
      <alignment horizontal="center"/>
    </xf>
    <xf numFmtId="0" fontId="5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36" fillId="0" borderId="0" xfId="0" applyFont="1" applyAlignment="1">
      <alignment horizontal="center" vertical="center" wrapText="1" shrinkToFit="1"/>
    </xf>
    <xf numFmtId="0" fontId="0" fillId="0" borderId="0" xfId="0"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vertical="center"/>
    </xf>
    <xf numFmtId="172" fontId="0" fillId="0" borderId="0" xfId="0" applyNumberFormat="1" applyAlignment="1">
      <alignment horizontal="center" vertical="center" wrapText="1" shrinkToFit="1"/>
    </xf>
    <xf numFmtId="0" fontId="4" fillId="0" borderId="5"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4" fillId="10" borderId="0" xfId="0" applyFont="1" applyFill="1" applyBorder="1" applyAlignment="1">
      <alignment horizontal="center" vertical="center" wrapText="1" shrinkToFit="1"/>
    </xf>
    <xf numFmtId="0" fontId="0" fillId="0" borderId="0" xfId="0" applyAlignment="1">
      <alignment/>
    </xf>
    <xf numFmtId="0" fontId="45" fillId="2" borderId="0" xfId="0" applyFont="1" applyFill="1" applyAlignment="1">
      <alignment horizontal="center"/>
    </xf>
    <xf numFmtId="0" fontId="0" fillId="0" borderId="0" xfId="0" applyAlignment="1">
      <alignment horizontal="center"/>
    </xf>
    <xf numFmtId="0" fontId="10" fillId="11" borderId="20" xfId="0" applyFont="1" applyFill="1" applyBorder="1" applyAlignment="1">
      <alignment horizontal="center" vertical="center" wrapText="1" shrinkToFit="1"/>
    </xf>
    <xf numFmtId="0" fontId="10" fillId="11" borderId="21" xfId="0" applyFont="1" applyFill="1" applyBorder="1" applyAlignment="1">
      <alignment horizontal="center" vertical="center" wrapText="1" shrinkToFit="1"/>
    </xf>
    <xf numFmtId="0" fontId="10" fillId="11" borderId="22" xfId="0" applyFont="1" applyFill="1" applyBorder="1" applyAlignment="1">
      <alignment horizontal="center" vertical="center" wrapText="1" shrinkToFit="1"/>
    </xf>
    <xf numFmtId="0" fontId="10" fillId="11" borderId="23" xfId="0" applyFont="1" applyFill="1" applyBorder="1" applyAlignment="1">
      <alignment horizontal="center" vertical="center" wrapText="1" shrinkToFit="1"/>
    </xf>
    <xf numFmtId="0" fontId="10" fillId="11" borderId="24" xfId="0" applyFont="1" applyFill="1" applyBorder="1" applyAlignment="1">
      <alignment horizontal="center" vertical="center" wrapText="1" shrinkToFit="1"/>
    </xf>
    <xf numFmtId="0" fontId="10" fillId="11" borderId="25" xfId="0" applyFont="1" applyFill="1" applyBorder="1" applyAlignment="1">
      <alignment horizontal="center" vertical="center" wrapText="1"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0" fillId="0" borderId="0" xfId="0" applyNumberFormat="1" applyAlignment="1">
      <alignment horizontal="center" vertical="center"/>
    </xf>
    <xf numFmtId="49" fontId="0" fillId="0" borderId="0" xfId="0" applyNumberFormat="1" applyAlignment="1">
      <alignment horizontal="center" vertic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114300</xdr:rowOff>
    </xdr:from>
    <xdr:to>
      <xdr:col>8</xdr:col>
      <xdr:colOff>95250</xdr:colOff>
      <xdr:row>14</xdr:row>
      <xdr:rowOff>95250</xdr:rowOff>
    </xdr:to>
    <xdr:sp>
      <xdr:nvSpPr>
        <xdr:cNvPr id="1" name="AutoShape 1"/>
        <xdr:cNvSpPr>
          <a:spLocks/>
        </xdr:cNvSpPr>
      </xdr:nvSpPr>
      <xdr:spPr>
        <a:xfrm>
          <a:off x="285750" y="276225"/>
          <a:ext cx="4686300" cy="2085975"/>
        </a:xfrm>
        <a:prstGeom prst="rect"/>
        <a:noFill/>
      </xdr:spPr>
      <xdr:txBody>
        <a:bodyPr fromWordArt="1" wrap="none">
          <a:prstTxWarp prst="textSlantUp">
            <a:avLst>
              <a:gd name="adj" fmla="val 51916"/>
            </a:avLst>
          </a:prstTxWarp>
        </a:bodyPr>
        <a:p>
          <a:pPr algn="ctr"/>
          <a:r>
            <a:rPr sz="5400" kern="10" spc="0">
              <a:ln w="9525" cmpd="sng">
                <a:solidFill>
                  <a:srgbClr val="000000"/>
                </a:solidFill>
                <a:headEnd type="none"/>
                <a:tailEnd type="none"/>
              </a:ln>
              <a:solidFill>
                <a:srgbClr val="000000"/>
              </a:solidFill>
              <a:latin typeface="Brombeer Engraved DB"/>
              <a:cs typeface="Brombeer Engraved DB"/>
            </a:rPr>
            <a:t>Appel-Peren wijn</a:t>
          </a:r>
        </a:p>
      </xdr:txBody>
    </xdr:sp>
    <xdr:clientData/>
  </xdr:twoCellAnchor>
  <xdr:oneCellAnchor>
    <xdr:from>
      <xdr:col>2</xdr:col>
      <xdr:colOff>342900</xdr:colOff>
      <xdr:row>0</xdr:row>
      <xdr:rowOff>0</xdr:rowOff>
    </xdr:from>
    <xdr:ext cx="2047875" cy="723900"/>
    <xdr:sp>
      <xdr:nvSpPr>
        <xdr:cNvPr id="2" name="AutoShape 2"/>
        <xdr:cNvSpPr>
          <a:spLocks/>
        </xdr:cNvSpPr>
      </xdr:nvSpPr>
      <xdr:spPr>
        <a:xfrm>
          <a:off x="1562100" y="0"/>
          <a:ext cx="2047875" cy="723900"/>
        </a:xfrm>
        <a:prstGeom prst="cloudCallout">
          <a:avLst>
            <a:gd name="adj1" fmla="val -94652"/>
            <a:gd name="adj2" fmla="val 1973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rPr>
            <a:t>Klik eens op de rode driehoekjes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235</xdr:row>
      <xdr:rowOff>0</xdr:rowOff>
    </xdr:from>
    <xdr:to>
      <xdr:col>4</xdr:col>
      <xdr:colOff>0</xdr:colOff>
      <xdr:row>235</xdr:row>
      <xdr:rowOff>152400</xdr:rowOff>
    </xdr:to>
    <xdr:sp>
      <xdr:nvSpPr>
        <xdr:cNvPr id="1" name="Line 1"/>
        <xdr:cNvSpPr>
          <a:spLocks/>
        </xdr:cNvSpPr>
      </xdr:nvSpPr>
      <xdr:spPr>
        <a:xfrm flipV="1">
          <a:off x="1952625" y="389953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232</xdr:row>
      <xdr:rowOff>152400</xdr:rowOff>
    </xdr:from>
    <xdr:to>
      <xdr:col>4</xdr:col>
      <xdr:colOff>0</xdr:colOff>
      <xdr:row>234</xdr:row>
      <xdr:rowOff>0</xdr:rowOff>
    </xdr:to>
    <xdr:sp>
      <xdr:nvSpPr>
        <xdr:cNvPr id="2" name="Line 2"/>
        <xdr:cNvSpPr>
          <a:spLocks/>
        </xdr:cNvSpPr>
      </xdr:nvSpPr>
      <xdr:spPr>
        <a:xfrm>
          <a:off x="1952625" y="386619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233</xdr:row>
      <xdr:rowOff>9525</xdr:rowOff>
    </xdr:from>
    <xdr:to>
      <xdr:col>6</xdr:col>
      <xdr:colOff>0</xdr:colOff>
      <xdr:row>234</xdr:row>
      <xdr:rowOff>0</xdr:rowOff>
    </xdr:to>
    <xdr:sp>
      <xdr:nvSpPr>
        <xdr:cNvPr id="3" name="Line 3"/>
        <xdr:cNvSpPr>
          <a:spLocks/>
        </xdr:cNvSpPr>
      </xdr:nvSpPr>
      <xdr:spPr>
        <a:xfrm flipH="1">
          <a:off x="3295650" y="386810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235</xdr:row>
      <xdr:rowOff>0</xdr:rowOff>
    </xdr:from>
    <xdr:to>
      <xdr:col>6</xdr:col>
      <xdr:colOff>0</xdr:colOff>
      <xdr:row>236</xdr:row>
      <xdr:rowOff>0</xdr:rowOff>
    </xdr:to>
    <xdr:sp>
      <xdr:nvSpPr>
        <xdr:cNvPr id="4" name="Line 4"/>
        <xdr:cNvSpPr>
          <a:spLocks/>
        </xdr:cNvSpPr>
      </xdr:nvSpPr>
      <xdr:spPr>
        <a:xfrm flipH="1" flipV="1">
          <a:off x="3295650" y="389953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121</xdr:row>
      <xdr:rowOff>0</xdr:rowOff>
    </xdr:from>
    <xdr:to>
      <xdr:col>8</xdr:col>
      <xdr:colOff>514350</xdr:colOff>
      <xdr:row>132</xdr:row>
      <xdr:rowOff>9525</xdr:rowOff>
    </xdr:to>
    <xdr:sp>
      <xdr:nvSpPr>
        <xdr:cNvPr id="5" name="Line 5"/>
        <xdr:cNvSpPr>
          <a:spLocks/>
        </xdr:cNvSpPr>
      </xdr:nvSpPr>
      <xdr:spPr>
        <a:xfrm>
          <a:off x="5238750" y="19888200"/>
          <a:ext cx="523875" cy="1952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176</xdr:row>
      <xdr:rowOff>142875</xdr:rowOff>
    </xdr:from>
    <xdr:to>
      <xdr:col>6</xdr:col>
      <xdr:colOff>9525</xdr:colOff>
      <xdr:row>178</xdr:row>
      <xdr:rowOff>152400</xdr:rowOff>
    </xdr:to>
    <xdr:sp>
      <xdr:nvSpPr>
        <xdr:cNvPr id="6" name="Line 27"/>
        <xdr:cNvSpPr>
          <a:spLocks/>
        </xdr:cNvSpPr>
      </xdr:nvSpPr>
      <xdr:spPr>
        <a:xfrm flipH="1" flipV="1">
          <a:off x="3695700" y="29584650"/>
          <a:ext cx="3238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175</xdr:row>
      <xdr:rowOff>0</xdr:rowOff>
    </xdr:from>
    <xdr:to>
      <xdr:col>4</xdr:col>
      <xdr:colOff>0</xdr:colOff>
      <xdr:row>175</xdr:row>
      <xdr:rowOff>152400</xdr:rowOff>
    </xdr:to>
    <xdr:sp>
      <xdr:nvSpPr>
        <xdr:cNvPr id="1" name="Line 122"/>
        <xdr:cNvSpPr>
          <a:spLocks/>
        </xdr:cNvSpPr>
      </xdr:nvSpPr>
      <xdr:spPr>
        <a:xfrm flipV="1">
          <a:off x="1952625" y="286321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172</xdr:row>
      <xdr:rowOff>152400</xdr:rowOff>
    </xdr:from>
    <xdr:to>
      <xdr:col>4</xdr:col>
      <xdr:colOff>0</xdr:colOff>
      <xdr:row>174</xdr:row>
      <xdr:rowOff>0</xdr:rowOff>
    </xdr:to>
    <xdr:sp>
      <xdr:nvSpPr>
        <xdr:cNvPr id="2" name="Line 123"/>
        <xdr:cNvSpPr>
          <a:spLocks/>
        </xdr:cNvSpPr>
      </xdr:nvSpPr>
      <xdr:spPr>
        <a:xfrm>
          <a:off x="1952625" y="282987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173</xdr:row>
      <xdr:rowOff>9525</xdr:rowOff>
    </xdr:from>
    <xdr:to>
      <xdr:col>6</xdr:col>
      <xdr:colOff>0</xdr:colOff>
      <xdr:row>174</xdr:row>
      <xdr:rowOff>0</xdr:rowOff>
    </xdr:to>
    <xdr:sp>
      <xdr:nvSpPr>
        <xdr:cNvPr id="3" name="Line 124"/>
        <xdr:cNvSpPr>
          <a:spLocks/>
        </xdr:cNvSpPr>
      </xdr:nvSpPr>
      <xdr:spPr>
        <a:xfrm flipH="1">
          <a:off x="3295650" y="283178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175</xdr:row>
      <xdr:rowOff>0</xdr:rowOff>
    </xdr:from>
    <xdr:to>
      <xdr:col>6</xdr:col>
      <xdr:colOff>0</xdr:colOff>
      <xdr:row>176</xdr:row>
      <xdr:rowOff>0</xdr:rowOff>
    </xdr:to>
    <xdr:sp>
      <xdr:nvSpPr>
        <xdr:cNvPr id="4" name="Line 125"/>
        <xdr:cNvSpPr>
          <a:spLocks/>
        </xdr:cNvSpPr>
      </xdr:nvSpPr>
      <xdr:spPr>
        <a:xfrm flipH="1" flipV="1">
          <a:off x="3295650" y="286321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299</xdr:row>
      <xdr:rowOff>0</xdr:rowOff>
    </xdr:from>
    <xdr:to>
      <xdr:col>4</xdr:col>
      <xdr:colOff>0</xdr:colOff>
      <xdr:row>299</xdr:row>
      <xdr:rowOff>152400</xdr:rowOff>
    </xdr:to>
    <xdr:sp>
      <xdr:nvSpPr>
        <xdr:cNvPr id="1" name="Line 33"/>
        <xdr:cNvSpPr>
          <a:spLocks/>
        </xdr:cNvSpPr>
      </xdr:nvSpPr>
      <xdr:spPr>
        <a:xfrm flipV="1">
          <a:off x="1952625" y="48710850"/>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296</xdr:row>
      <xdr:rowOff>152400</xdr:rowOff>
    </xdr:from>
    <xdr:to>
      <xdr:col>4</xdr:col>
      <xdr:colOff>0</xdr:colOff>
      <xdr:row>298</xdr:row>
      <xdr:rowOff>0</xdr:rowOff>
    </xdr:to>
    <xdr:sp>
      <xdr:nvSpPr>
        <xdr:cNvPr id="2" name="Line 34"/>
        <xdr:cNvSpPr>
          <a:spLocks/>
        </xdr:cNvSpPr>
      </xdr:nvSpPr>
      <xdr:spPr>
        <a:xfrm>
          <a:off x="1952625" y="48377475"/>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297</xdr:row>
      <xdr:rowOff>9525</xdr:rowOff>
    </xdr:from>
    <xdr:to>
      <xdr:col>6</xdr:col>
      <xdr:colOff>0</xdr:colOff>
      <xdr:row>298</xdr:row>
      <xdr:rowOff>0</xdr:rowOff>
    </xdr:to>
    <xdr:sp>
      <xdr:nvSpPr>
        <xdr:cNvPr id="3" name="Line 35"/>
        <xdr:cNvSpPr>
          <a:spLocks/>
        </xdr:cNvSpPr>
      </xdr:nvSpPr>
      <xdr:spPr>
        <a:xfrm flipH="1">
          <a:off x="3295650" y="48396525"/>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299</xdr:row>
      <xdr:rowOff>0</xdr:rowOff>
    </xdr:from>
    <xdr:to>
      <xdr:col>6</xdr:col>
      <xdr:colOff>0</xdr:colOff>
      <xdr:row>300</xdr:row>
      <xdr:rowOff>0</xdr:rowOff>
    </xdr:to>
    <xdr:sp>
      <xdr:nvSpPr>
        <xdr:cNvPr id="4" name="Line 36"/>
        <xdr:cNvSpPr>
          <a:spLocks/>
        </xdr:cNvSpPr>
      </xdr:nvSpPr>
      <xdr:spPr>
        <a:xfrm flipH="1" flipV="1">
          <a:off x="3295650" y="4871085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188</xdr:row>
      <xdr:rowOff>0</xdr:rowOff>
    </xdr:from>
    <xdr:to>
      <xdr:col>4</xdr:col>
      <xdr:colOff>0</xdr:colOff>
      <xdr:row>188</xdr:row>
      <xdr:rowOff>152400</xdr:rowOff>
    </xdr:to>
    <xdr:sp>
      <xdr:nvSpPr>
        <xdr:cNvPr id="1" name="Line 22"/>
        <xdr:cNvSpPr>
          <a:spLocks/>
        </xdr:cNvSpPr>
      </xdr:nvSpPr>
      <xdr:spPr>
        <a:xfrm flipV="1">
          <a:off x="1952625" y="30737175"/>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185</xdr:row>
      <xdr:rowOff>152400</xdr:rowOff>
    </xdr:from>
    <xdr:to>
      <xdr:col>4</xdr:col>
      <xdr:colOff>0</xdr:colOff>
      <xdr:row>187</xdr:row>
      <xdr:rowOff>0</xdr:rowOff>
    </xdr:to>
    <xdr:sp>
      <xdr:nvSpPr>
        <xdr:cNvPr id="2" name="Line 23"/>
        <xdr:cNvSpPr>
          <a:spLocks/>
        </xdr:cNvSpPr>
      </xdr:nvSpPr>
      <xdr:spPr>
        <a:xfrm>
          <a:off x="1952625" y="30403800"/>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186</xdr:row>
      <xdr:rowOff>9525</xdr:rowOff>
    </xdr:from>
    <xdr:to>
      <xdr:col>6</xdr:col>
      <xdr:colOff>0</xdr:colOff>
      <xdr:row>187</xdr:row>
      <xdr:rowOff>0</xdr:rowOff>
    </xdr:to>
    <xdr:sp>
      <xdr:nvSpPr>
        <xdr:cNvPr id="3" name="Line 24"/>
        <xdr:cNvSpPr>
          <a:spLocks/>
        </xdr:cNvSpPr>
      </xdr:nvSpPr>
      <xdr:spPr>
        <a:xfrm flipH="1">
          <a:off x="3295650" y="30422850"/>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188</xdr:row>
      <xdr:rowOff>0</xdr:rowOff>
    </xdr:from>
    <xdr:to>
      <xdr:col>6</xdr:col>
      <xdr:colOff>0</xdr:colOff>
      <xdr:row>189</xdr:row>
      <xdr:rowOff>0</xdr:rowOff>
    </xdr:to>
    <xdr:sp>
      <xdr:nvSpPr>
        <xdr:cNvPr id="4" name="Line 25"/>
        <xdr:cNvSpPr>
          <a:spLocks/>
        </xdr:cNvSpPr>
      </xdr:nvSpPr>
      <xdr:spPr>
        <a:xfrm flipH="1" flipV="1">
          <a:off x="3295650" y="30737175"/>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E23"/>
  <sheetViews>
    <sheetView tabSelected="1" workbookViewId="0" topLeftCell="A1">
      <selection activeCell="G13" sqref="G13"/>
    </sheetView>
  </sheetViews>
  <sheetFormatPr defaultColWidth="9.140625" defaultRowHeight="12.75"/>
  <sheetData>
    <row r="4" ht="12.75"/>
    <row r="15" ht="12.75">
      <c r="A15" s="1" t="s">
        <v>0</v>
      </c>
    </row>
    <row r="16" ht="12.75">
      <c r="A16" t="s">
        <v>1</v>
      </c>
    </row>
    <row r="17" spans="2:5" ht="12.75">
      <c r="B17" s="49" t="s">
        <v>460</v>
      </c>
      <c r="C17" s="49"/>
      <c r="D17" s="49"/>
      <c r="E17" s="49"/>
    </row>
    <row r="18" ht="12.75">
      <c r="A18" s="1" t="s">
        <v>446</v>
      </c>
    </row>
    <row r="19" ht="12.75">
      <c r="A19" t="s">
        <v>449</v>
      </c>
    </row>
    <row r="20" ht="12.75">
      <c r="A20" s="1" t="s">
        <v>2</v>
      </c>
    </row>
    <row r="21" ht="12.75">
      <c r="A21" s="1" t="s">
        <v>3</v>
      </c>
    </row>
    <row r="22" ht="12.75">
      <c r="A22" s="1" t="s">
        <v>4</v>
      </c>
    </row>
    <row r="23" ht="12.75">
      <c r="A23" t="s">
        <v>5</v>
      </c>
    </row>
  </sheetData>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36"/>
  <sheetViews>
    <sheetView showZeros="0" workbookViewId="0" topLeftCell="A1">
      <selection activeCell="G31" sqref="G31"/>
    </sheetView>
  </sheetViews>
  <sheetFormatPr defaultColWidth="9.140625" defaultRowHeight="12.75"/>
  <sheetData>
    <row r="1" ht="26.25">
      <c r="A1" s="113" t="s">
        <v>364</v>
      </c>
    </row>
    <row r="3" spans="2:8" ht="12.75">
      <c r="B3" s="138" t="s">
        <v>448</v>
      </c>
      <c r="C3" s="139"/>
      <c r="D3" s="139"/>
      <c r="E3" s="139"/>
      <c r="F3" s="139"/>
      <c r="G3" s="139"/>
      <c r="H3" s="140"/>
    </row>
    <row r="4" spans="2:8" ht="12.75">
      <c r="B4" s="141"/>
      <c r="C4" s="142"/>
      <c r="D4" s="142"/>
      <c r="E4" s="142"/>
      <c r="F4" s="142"/>
      <c r="G4" s="142"/>
      <c r="H4" s="143"/>
    </row>
    <row r="5" spans="2:8" ht="12.75">
      <c r="B5" s="144"/>
      <c r="C5" s="145"/>
      <c r="D5" s="145"/>
      <c r="E5" s="145"/>
      <c r="F5" s="145"/>
      <c r="G5" s="145"/>
      <c r="H5" s="146"/>
    </row>
    <row r="6" spans="2:8" ht="12.75">
      <c r="B6" s="135"/>
      <c r="C6" s="136"/>
      <c r="D6" s="136"/>
      <c r="E6" s="136"/>
      <c r="F6" s="136"/>
      <c r="G6" s="136"/>
      <c r="H6" s="147"/>
    </row>
    <row r="8" spans="1:4" ht="18">
      <c r="A8" s="115" t="s">
        <v>367</v>
      </c>
      <c r="B8" s="114"/>
      <c r="C8" s="114"/>
      <c r="D8" s="114"/>
    </row>
    <row r="10" ht="15">
      <c r="A10" s="115" t="s">
        <v>365</v>
      </c>
    </row>
    <row r="12" spans="1:9" ht="15">
      <c r="A12" s="115" t="s">
        <v>366</v>
      </c>
      <c r="B12" s="115"/>
      <c r="C12" s="115"/>
      <c r="D12" s="115"/>
      <c r="E12" s="115"/>
      <c r="F12" s="115"/>
      <c r="G12" s="115"/>
      <c r="H12" s="115"/>
      <c r="I12" s="115"/>
    </row>
    <row r="14" spans="1:2" ht="12" customHeight="1">
      <c r="A14" s="115"/>
      <c r="B14" s="115" t="s">
        <v>368</v>
      </c>
    </row>
    <row r="16" ht="15">
      <c r="B16" s="115" t="s">
        <v>369</v>
      </c>
    </row>
    <row r="18" spans="3:8" ht="12.75">
      <c r="C18" s="154" t="s">
        <v>370</v>
      </c>
      <c r="D18" s="155"/>
      <c r="E18" s="155"/>
      <c r="F18" s="155"/>
      <c r="G18" s="155"/>
      <c r="H18" s="155"/>
    </row>
    <row r="20" spans="3:8" ht="15">
      <c r="C20" s="156" t="s">
        <v>371</v>
      </c>
      <c r="D20" s="156"/>
      <c r="E20" s="156"/>
      <c r="F20" s="156"/>
      <c r="G20" s="156"/>
      <c r="H20" s="156"/>
    </row>
    <row r="23" spans="1:9" ht="12.75">
      <c r="A23" s="148" t="s">
        <v>372</v>
      </c>
      <c r="B23" s="149"/>
      <c r="C23" s="149"/>
      <c r="D23" s="149"/>
      <c r="E23" s="149"/>
      <c r="F23" s="149"/>
      <c r="G23" s="149"/>
      <c r="H23" s="149"/>
      <c r="I23" s="150"/>
    </row>
    <row r="24" spans="1:9" ht="12.75">
      <c r="A24" s="151"/>
      <c r="B24" s="152"/>
      <c r="C24" s="152"/>
      <c r="D24" s="152"/>
      <c r="E24" s="152"/>
      <c r="F24" s="152"/>
      <c r="G24" s="152"/>
      <c r="H24" s="152"/>
      <c r="I24" s="153"/>
    </row>
    <row r="27" spans="2:6" ht="15.75">
      <c r="B27" s="158" t="s">
        <v>382</v>
      </c>
      <c r="C27" s="158"/>
      <c r="D27" s="158"/>
      <c r="F27" s="116">
        <v>0</v>
      </c>
    </row>
    <row r="29" spans="2:6" ht="15.75">
      <c r="B29" s="159" t="s">
        <v>381</v>
      </c>
      <c r="C29" s="159"/>
      <c r="D29" s="159"/>
      <c r="F29" s="116">
        <v>0</v>
      </c>
    </row>
    <row r="31" spans="2:6" ht="15.75">
      <c r="B31" s="160" t="s">
        <v>380</v>
      </c>
      <c r="C31" s="160"/>
      <c r="D31" s="160"/>
      <c r="F31" s="116">
        <v>0</v>
      </c>
    </row>
    <row r="34" spans="1:9" ht="15.75">
      <c r="A34" s="157" t="s">
        <v>436</v>
      </c>
      <c r="B34" s="157"/>
      <c r="C34" s="157"/>
      <c r="D34" s="157"/>
      <c r="E34" s="157"/>
      <c r="F34" s="157"/>
      <c r="G34" s="157"/>
      <c r="H34" s="157"/>
      <c r="I34" s="157"/>
    </row>
    <row r="36" spans="2:6" ht="12.75" customHeight="1">
      <c r="B36" s="137" t="s">
        <v>450</v>
      </c>
      <c r="C36" s="137"/>
      <c r="D36" s="137"/>
      <c r="F36" s="88">
        <v>0</v>
      </c>
    </row>
  </sheetData>
  <mergeCells count="9">
    <mergeCell ref="B36:D36"/>
    <mergeCell ref="B3:H6"/>
    <mergeCell ref="A23:I24"/>
    <mergeCell ref="C18:H18"/>
    <mergeCell ref="C20:H20"/>
    <mergeCell ref="A34:I34"/>
    <mergeCell ref="B27:D27"/>
    <mergeCell ref="B29:D29"/>
    <mergeCell ref="B31:D3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309"/>
  <sheetViews>
    <sheetView workbookViewId="0" topLeftCell="A11">
      <selection activeCell="J18" sqref="J18"/>
    </sheetView>
  </sheetViews>
  <sheetFormatPr defaultColWidth="9.140625" defaultRowHeight="12.75"/>
  <cols>
    <col min="4" max="4" width="9.421875" style="0" bestFit="1" customWidth="1"/>
    <col min="6" max="6" width="9.421875" style="0" bestFit="1" customWidth="1"/>
  </cols>
  <sheetData>
    <row r="1" spans="1:9" ht="29.25">
      <c r="A1" s="162" t="s">
        <v>6</v>
      </c>
      <c r="B1" s="162"/>
      <c r="C1" s="162"/>
      <c r="D1" s="162"/>
      <c r="E1" s="162"/>
      <c r="F1" s="162"/>
      <c r="G1" s="162"/>
      <c r="H1" s="162"/>
      <c r="I1" s="8" t="s">
        <v>7</v>
      </c>
    </row>
    <row r="3" spans="1:9" ht="12.75">
      <c r="A3" s="1" t="s">
        <v>8</v>
      </c>
      <c r="C3" s="26">
        <v>0</v>
      </c>
      <c r="H3" s="1" t="s">
        <v>9</v>
      </c>
      <c r="I3" s="27">
        <v>0</v>
      </c>
    </row>
    <row r="5" spans="1:9" ht="12.75">
      <c r="A5" s="1" t="s">
        <v>10</v>
      </c>
      <c r="B5" s="28">
        <v>0</v>
      </c>
      <c r="E5" s="29" t="s">
        <v>11</v>
      </c>
      <c r="F5" s="30"/>
      <c r="G5" s="30"/>
      <c r="H5" s="30"/>
      <c r="I5" s="31"/>
    </row>
    <row r="6" spans="5:9" ht="12.75">
      <c r="E6" s="32" t="s">
        <v>12</v>
      </c>
      <c r="F6" s="33"/>
      <c r="G6" s="33"/>
      <c r="H6" s="33"/>
      <c r="I6" s="34"/>
    </row>
    <row r="7" spans="1:4" ht="15.75">
      <c r="A7" s="35" t="s">
        <v>13</v>
      </c>
      <c r="B7" s="36"/>
      <c r="C7" s="37"/>
      <c r="D7" s="37"/>
    </row>
    <row r="9" spans="1:5" ht="12.75">
      <c r="A9" s="1" t="s">
        <v>14</v>
      </c>
      <c r="D9" s="133">
        <v>0</v>
      </c>
      <c r="E9" t="s">
        <v>15</v>
      </c>
    </row>
    <row r="10" spans="4:7" ht="12.75">
      <c r="D10" s="133">
        <v>0</v>
      </c>
      <c r="E10" t="s">
        <v>16</v>
      </c>
      <c r="F10" s="1" t="s">
        <v>17</v>
      </c>
      <c r="G10" s="26">
        <v>0</v>
      </c>
    </row>
    <row r="11" spans="1:7" ht="12.75">
      <c r="A11" t="s">
        <v>18</v>
      </c>
      <c r="F11" s="1" t="s">
        <v>19</v>
      </c>
      <c r="G11" s="27">
        <v>0</v>
      </c>
    </row>
    <row r="12" ht="12.75">
      <c r="A12" t="s">
        <v>20</v>
      </c>
    </row>
    <row r="14" spans="1:5" ht="12.75">
      <c r="A14" s="1" t="s">
        <v>21</v>
      </c>
      <c r="D14" s="133">
        <v>0</v>
      </c>
      <c r="E14" t="s">
        <v>15</v>
      </c>
    </row>
    <row r="15" spans="4:7" ht="12.75">
      <c r="D15" s="133">
        <v>0</v>
      </c>
      <c r="E15" t="s">
        <v>16</v>
      </c>
      <c r="F15" s="1" t="s">
        <v>17</v>
      </c>
      <c r="G15" s="26">
        <v>0</v>
      </c>
    </row>
    <row r="16" spans="6:7" ht="12.75">
      <c r="F16" s="1" t="s">
        <v>19</v>
      </c>
      <c r="G16" s="27">
        <v>0</v>
      </c>
    </row>
    <row r="18" spans="1:7" ht="12.75">
      <c r="A18" s="1" t="s">
        <v>22</v>
      </c>
      <c r="C18" s="38" t="s">
        <v>23</v>
      </c>
      <c r="F18" s="27">
        <v>0</v>
      </c>
      <c r="G18" t="s">
        <v>24</v>
      </c>
    </row>
    <row r="19" spans="3:7" ht="12.75">
      <c r="C19" t="s">
        <v>25</v>
      </c>
      <c r="F19" s="134">
        <f>IF(F18=0,0,IF(G11=0,0,IF(G11=1,VLOOKUP(F18,Opzoekingstabellen!A3:E143,2),IF(G11=2,VLOOKUP(F18,Opzoekingstabellen!A3:E143,3)))))</f>
        <v>0</v>
      </c>
      <c r="G19" t="s">
        <v>26</v>
      </c>
    </row>
    <row r="20" spans="3:7" ht="12.75">
      <c r="C20" s="38" t="s">
        <v>27</v>
      </c>
      <c r="F20" s="27">
        <v>0</v>
      </c>
      <c r="G20" t="s">
        <v>28</v>
      </c>
    </row>
    <row r="22" spans="1:8" ht="12.75">
      <c r="A22" s="1" t="s">
        <v>29</v>
      </c>
      <c r="E22" s="39">
        <v>0</v>
      </c>
      <c r="F22" t="s">
        <v>30</v>
      </c>
      <c r="G22" s="1" t="s">
        <v>10</v>
      </c>
      <c r="H22" s="28">
        <v>0</v>
      </c>
    </row>
    <row r="24" spans="1:8" ht="12.75">
      <c r="A24" s="1" t="s">
        <v>31</v>
      </c>
      <c r="E24" s="39">
        <v>0</v>
      </c>
      <c r="F24" t="s">
        <v>30</v>
      </c>
      <c r="G24" s="1" t="s">
        <v>10</v>
      </c>
      <c r="H24" s="28">
        <v>0</v>
      </c>
    </row>
    <row r="26" spans="1:6" ht="12.75">
      <c r="A26" s="1" t="s">
        <v>32</v>
      </c>
      <c r="E26" s="27">
        <v>0</v>
      </c>
      <c r="F26" t="s">
        <v>33</v>
      </c>
    </row>
    <row r="28" spans="1:6" ht="12.75">
      <c r="A28" s="1" t="s">
        <v>34</v>
      </c>
      <c r="B28" s="26">
        <v>0</v>
      </c>
      <c r="E28" s="1" t="s">
        <v>17</v>
      </c>
      <c r="F28" s="26">
        <v>0</v>
      </c>
    </row>
    <row r="29" spans="1:7" ht="12.75">
      <c r="A29" s="1" t="s">
        <v>35</v>
      </c>
      <c r="D29" s="28"/>
      <c r="E29" s="1" t="s">
        <v>36</v>
      </c>
      <c r="F29" s="27">
        <v>0</v>
      </c>
      <c r="G29" t="s">
        <v>37</v>
      </c>
    </row>
    <row r="31" spans="1:4" ht="12.75">
      <c r="A31" s="40" t="s">
        <v>38</v>
      </c>
      <c r="B31" s="41"/>
      <c r="C31" s="41"/>
      <c r="D31" s="41"/>
    </row>
    <row r="33" spans="1:7" ht="12.75">
      <c r="A33" s="1" t="s">
        <v>39</v>
      </c>
      <c r="C33" s="27">
        <v>0</v>
      </c>
      <c r="D33" t="s">
        <v>37</v>
      </c>
      <c r="E33" s="1" t="s">
        <v>40</v>
      </c>
      <c r="F33" s="27">
        <v>0</v>
      </c>
      <c r="G33" t="s">
        <v>37</v>
      </c>
    </row>
    <row r="35" spans="1:8" ht="12.75">
      <c r="A35" t="s">
        <v>41</v>
      </c>
      <c r="C35" s="27">
        <v>0</v>
      </c>
      <c r="D35" t="s">
        <v>37</v>
      </c>
      <c r="E35" t="s">
        <v>42</v>
      </c>
      <c r="G35" s="27">
        <v>0</v>
      </c>
      <c r="H35" t="s">
        <v>37</v>
      </c>
    </row>
    <row r="36" spans="1:8" ht="12.75">
      <c r="A36" t="s">
        <v>43</v>
      </c>
      <c r="C36" s="27">
        <v>0</v>
      </c>
      <c r="D36" t="s">
        <v>37</v>
      </c>
      <c r="E36" t="s">
        <v>44</v>
      </c>
      <c r="G36" s="27">
        <v>0</v>
      </c>
      <c r="H36" t="s">
        <v>37</v>
      </c>
    </row>
    <row r="37" spans="1:4" ht="12.75">
      <c r="A37" t="s">
        <v>45</v>
      </c>
      <c r="C37" s="27">
        <v>0</v>
      </c>
      <c r="D37" t="s">
        <v>37</v>
      </c>
    </row>
    <row r="38" ht="12.75">
      <c r="C38" s="27"/>
    </row>
    <row r="40" ht="15.75">
      <c r="A40" s="35" t="s">
        <v>46</v>
      </c>
    </row>
    <row r="43" spans="1:8" ht="12.75">
      <c r="A43" s="1" t="s">
        <v>47</v>
      </c>
      <c r="F43" s="1" t="s">
        <v>48</v>
      </c>
      <c r="H43" s="28">
        <v>0</v>
      </c>
    </row>
    <row r="45" spans="1:8" ht="12.75">
      <c r="A45">
        <v>1</v>
      </c>
      <c r="B45" s="26">
        <v>0</v>
      </c>
      <c r="E45" s="27"/>
      <c r="F45" t="s">
        <v>49</v>
      </c>
      <c r="G45" s="27">
        <v>0</v>
      </c>
      <c r="H45" t="s">
        <v>50</v>
      </c>
    </row>
    <row r="46" spans="1:8" ht="12.75">
      <c r="A46">
        <v>2</v>
      </c>
      <c r="B46" s="26">
        <v>0</v>
      </c>
      <c r="E46" s="27"/>
      <c r="F46" t="s">
        <v>49</v>
      </c>
      <c r="G46" s="27">
        <v>0</v>
      </c>
      <c r="H46" t="s">
        <v>50</v>
      </c>
    </row>
    <row r="47" spans="1:8" ht="12.75">
      <c r="A47">
        <v>3</v>
      </c>
      <c r="B47" s="26">
        <v>0</v>
      </c>
      <c r="E47" s="27"/>
      <c r="F47" t="s">
        <v>49</v>
      </c>
      <c r="G47" s="27">
        <v>0</v>
      </c>
      <c r="H47" t="s">
        <v>50</v>
      </c>
    </row>
    <row r="48" spans="1:8" ht="12.75">
      <c r="A48">
        <v>4</v>
      </c>
      <c r="B48" s="26">
        <v>0</v>
      </c>
      <c r="E48" s="27"/>
      <c r="F48" t="s">
        <v>49</v>
      </c>
      <c r="G48" s="27">
        <v>0</v>
      </c>
      <c r="H48" t="s">
        <v>50</v>
      </c>
    </row>
    <row r="49" spans="1:8" ht="12.75">
      <c r="A49">
        <v>5</v>
      </c>
      <c r="B49" s="26">
        <v>0</v>
      </c>
      <c r="E49" s="27"/>
      <c r="F49" t="s">
        <v>49</v>
      </c>
      <c r="G49" s="27">
        <v>0</v>
      </c>
      <c r="H49" t="s">
        <v>50</v>
      </c>
    </row>
    <row r="50" spans="1:8" ht="12.75">
      <c r="A50">
        <v>6</v>
      </c>
      <c r="B50" s="26">
        <v>0</v>
      </c>
      <c r="E50" s="27"/>
      <c r="F50" t="s">
        <v>49</v>
      </c>
      <c r="G50" s="27">
        <v>0</v>
      </c>
      <c r="H50" t="s">
        <v>50</v>
      </c>
    </row>
    <row r="51" spans="1:8" ht="12.75">
      <c r="A51">
        <v>7</v>
      </c>
      <c r="B51" s="26">
        <v>0</v>
      </c>
      <c r="E51" s="27"/>
      <c r="F51" t="s">
        <v>49</v>
      </c>
      <c r="G51" s="27">
        <v>0</v>
      </c>
      <c r="H51" t="s">
        <v>50</v>
      </c>
    </row>
    <row r="55" ht="12.75">
      <c r="I55" s="8" t="s">
        <v>52</v>
      </c>
    </row>
    <row r="56" ht="12.75">
      <c r="A56" s="1" t="s">
        <v>51</v>
      </c>
    </row>
    <row r="58" spans="1:6" ht="12.75">
      <c r="A58">
        <v>1</v>
      </c>
      <c r="B58" t="s">
        <v>23</v>
      </c>
      <c r="D58" s="27">
        <v>0</v>
      </c>
      <c r="E58" t="s">
        <v>27</v>
      </c>
      <c r="F58" s="27">
        <v>0</v>
      </c>
    </row>
    <row r="59" spans="1:6" ht="12.75">
      <c r="A59">
        <v>2</v>
      </c>
      <c r="B59" t="s">
        <v>23</v>
      </c>
      <c r="D59" s="27">
        <v>0</v>
      </c>
      <c r="E59" t="s">
        <v>27</v>
      </c>
      <c r="F59" s="27">
        <v>0</v>
      </c>
    </row>
    <row r="60" spans="1:6" ht="12.75">
      <c r="A60">
        <v>3</v>
      </c>
      <c r="B60" t="s">
        <v>23</v>
      </c>
      <c r="D60" s="27">
        <v>0</v>
      </c>
      <c r="E60" t="s">
        <v>27</v>
      </c>
      <c r="F60" s="27">
        <v>0</v>
      </c>
    </row>
    <row r="61" spans="1:6" ht="12.75">
      <c r="A61">
        <v>4</v>
      </c>
      <c r="B61" t="s">
        <v>23</v>
      </c>
      <c r="D61" s="27">
        <v>0</v>
      </c>
      <c r="E61" t="s">
        <v>27</v>
      </c>
      <c r="F61" s="27">
        <v>0</v>
      </c>
    </row>
    <row r="62" spans="1:6" ht="12.75">
      <c r="A62">
        <v>5</v>
      </c>
      <c r="B62" t="s">
        <v>23</v>
      </c>
      <c r="D62" s="27">
        <v>0</v>
      </c>
      <c r="E62" t="s">
        <v>27</v>
      </c>
      <c r="F62" s="27">
        <v>0</v>
      </c>
    </row>
    <row r="63" spans="1:6" ht="12.75">
      <c r="A63">
        <v>6</v>
      </c>
      <c r="B63" t="s">
        <v>23</v>
      </c>
      <c r="D63" s="27">
        <v>0</v>
      </c>
      <c r="E63" t="s">
        <v>27</v>
      </c>
      <c r="F63" s="27">
        <v>0</v>
      </c>
    </row>
    <row r="64" spans="1:6" ht="12.75">
      <c r="A64">
        <v>7</v>
      </c>
      <c r="B64" t="s">
        <v>23</v>
      </c>
      <c r="D64" s="27">
        <v>0</v>
      </c>
      <c r="E64" t="s">
        <v>27</v>
      </c>
      <c r="F64" s="27">
        <v>0</v>
      </c>
    </row>
    <row r="66" spans="1:3" ht="12.75">
      <c r="A66" s="40" t="s">
        <v>53</v>
      </c>
      <c r="B66" s="42"/>
      <c r="C66" s="42"/>
    </row>
    <row r="68" spans="1:8" ht="12.75">
      <c r="A68" t="s">
        <v>54</v>
      </c>
      <c r="D68" s="27">
        <v>0</v>
      </c>
      <c r="E68" t="s">
        <v>37</v>
      </c>
      <c r="G68" t="s">
        <v>10</v>
      </c>
      <c r="H68" s="28">
        <v>0</v>
      </c>
    </row>
    <row r="69" spans="1:8" ht="12.75">
      <c r="A69" t="s">
        <v>55</v>
      </c>
      <c r="D69" s="27">
        <v>0</v>
      </c>
      <c r="E69" t="s">
        <v>37</v>
      </c>
      <c r="G69" t="s">
        <v>10</v>
      </c>
      <c r="H69" s="28">
        <v>0</v>
      </c>
    </row>
    <row r="70" spans="1:8" ht="12.75">
      <c r="A70" t="s">
        <v>39</v>
      </c>
      <c r="D70" s="27">
        <v>0</v>
      </c>
      <c r="E70" t="s">
        <v>37</v>
      </c>
      <c r="G70" t="s">
        <v>10</v>
      </c>
      <c r="H70" s="28">
        <v>0</v>
      </c>
    </row>
    <row r="71" spans="1:8" ht="12.75">
      <c r="A71" t="s">
        <v>56</v>
      </c>
      <c r="D71" s="27">
        <v>0</v>
      </c>
      <c r="E71" t="s">
        <v>57</v>
      </c>
      <c r="G71" t="s">
        <v>10</v>
      </c>
      <c r="H71" s="28">
        <v>0</v>
      </c>
    </row>
    <row r="72" spans="1:8" ht="12.75">
      <c r="A72" t="s">
        <v>17</v>
      </c>
      <c r="B72" s="26">
        <v>0</v>
      </c>
      <c r="D72" s="27"/>
      <c r="E72" t="s">
        <v>19</v>
      </c>
      <c r="F72" s="26">
        <v>0</v>
      </c>
      <c r="H72" s="28"/>
    </row>
    <row r="73" spans="1:8" ht="12.75">
      <c r="A73" t="s">
        <v>58</v>
      </c>
      <c r="D73" s="27">
        <v>0</v>
      </c>
      <c r="E73" t="s">
        <v>37</v>
      </c>
      <c r="G73" t="s">
        <v>10</v>
      </c>
      <c r="H73" s="28">
        <v>0</v>
      </c>
    </row>
    <row r="74" spans="1:8" ht="12.75">
      <c r="A74" t="s">
        <v>59</v>
      </c>
      <c r="D74" s="27">
        <v>0</v>
      </c>
      <c r="E74" t="s">
        <v>37</v>
      </c>
      <c r="G74" t="s">
        <v>10</v>
      </c>
      <c r="H74" s="28">
        <v>0</v>
      </c>
    </row>
    <row r="75" spans="1:8" ht="12.75">
      <c r="A75" t="s">
        <v>60</v>
      </c>
      <c r="D75" s="27">
        <v>0</v>
      </c>
      <c r="E75" t="s">
        <v>37</v>
      </c>
      <c r="G75" t="s">
        <v>10</v>
      </c>
      <c r="H75" s="28">
        <v>0</v>
      </c>
    </row>
    <row r="76" spans="1:8" ht="12.75">
      <c r="A76" t="s">
        <v>61</v>
      </c>
      <c r="D76" s="27">
        <v>0</v>
      </c>
      <c r="E76" t="s">
        <v>37</v>
      </c>
      <c r="G76" t="s">
        <v>10</v>
      </c>
      <c r="H76" s="28">
        <v>0</v>
      </c>
    </row>
    <row r="78" spans="1:3" ht="15.75">
      <c r="A78" s="35" t="s">
        <v>62</v>
      </c>
      <c r="B78" s="43"/>
      <c r="C78" s="43"/>
    </row>
    <row r="80" spans="1:8" ht="12.75">
      <c r="A80" s="1" t="s">
        <v>63</v>
      </c>
      <c r="D80" s="8"/>
      <c r="G80" s="27">
        <v>0</v>
      </c>
      <c r="H80" t="s">
        <v>24</v>
      </c>
    </row>
    <row r="81" spans="1:5" ht="12.75">
      <c r="A81" t="s">
        <v>25</v>
      </c>
      <c r="D81" s="27">
        <f>IF(G80=0,0,IF(G80&gt;0,VLOOKUP(G80,Opzoekingstabellen!A3:E143,3)))</f>
        <v>0</v>
      </c>
      <c r="E81" t="s">
        <v>26</v>
      </c>
    </row>
    <row r="83" spans="1:4" ht="13.5" thickBot="1">
      <c r="A83" s="1" t="s">
        <v>64</v>
      </c>
      <c r="B83" s="1"/>
      <c r="C83" s="27">
        <v>0</v>
      </c>
      <c r="D83" t="s">
        <v>28</v>
      </c>
    </row>
    <row r="84" spans="4:9" ht="12.75" customHeight="1" thickBot="1">
      <c r="D84" s="173" t="s">
        <v>437</v>
      </c>
      <c r="E84" s="174"/>
      <c r="F84" s="174"/>
      <c r="G84" s="174"/>
      <c r="H84" s="174"/>
      <c r="I84" s="175"/>
    </row>
    <row r="85" spans="1:4" ht="12.75">
      <c r="A85" s="1" t="s">
        <v>65</v>
      </c>
      <c r="B85" s="1"/>
      <c r="C85" s="27">
        <v>0</v>
      </c>
      <c r="D85" t="s">
        <v>28</v>
      </c>
    </row>
    <row r="87" spans="1:5" ht="12.75">
      <c r="A87" s="1" t="s">
        <v>66</v>
      </c>
      <c r="D87" s="125">
        <v>0</v>
      </c>
      <c r="E87" t="s">
        <v>67</v>
      </c>
    </row>
    <row r="89" spans="1:7" ht="12.75">
      <c r="A89" s="1" t="s">
        <v>361</v>
      </c>
      <c r="B89" s="1"/>
      <c r="F89" s="27">
        <v>0</v>
      </c>
      <c r="G89" t="s">
        <v>50</v>
      </c>
    </row>
    <row r="90" spans="2:4" ht="12.75">
      <c r="B90" s="112" t="s">
        <v>451</v>
      </c>
      <c r="C90" s="112"/>
      <c r="D90" s="112"/>
    </row>
    <row r="91" spans="1:8" ht="12.75">
      <c r="A91" s="1" t="s">
        <v>362</v>
      </c>
      <c r="G91" s="27">
        <v>0</v>
      </c>
      <c r="H91" t="s">
        <v>50</v>
      </c>
    </row>
    <row r="92" spans="1:9" ht="12.75">
      <c r="A92" s="165" t="s">
        <v>452</v>
      </c>
      <c r="B92" s="166"/>
      <c r="C92" s="166"/>
      <c r="D92" s="166"/>
      <c r="E92" s="166"/>
      <c r="F92" s="166"/>
      <c r="G92" s="166"/>
      <c r="H92" s="166"/>
      <c r="I92" s="166"/>
    </row>
    <row r="93" spans="1:9" ht="12.75">
      <c r="A93" s="166"/>
      <c r="B93" s="166"/>
      <c r="C93" s="166"/>
      <c r="D93" s="166"/>
      <c r="E93" s="166"/>
      <c r="F93" s="166"/>
      <c r="G93" s="166"/>
      <c r="H93" s="166"/>
      <c r="I93" s="166"/>
    </row>
    <row r="95" spans="1:2" ht="12.75">
      <c r="A95" s="44" t="s">
        <v>68</v>
      </c>
      <c r="B95" s="43"/>
    </row>
    <row r="98" spans="1:5" ht="12.75">
      <c r="A98" s="46" t="s">
        <v>107</v>
      </c>
      <c r="C98" s="53" t="s">
        <v>108</v>
      </c>
      <c r="D98" s="53"/>
      <c r="E98" s="53"/>
    </row>
    <row r="99" ht="12.75">
      <c r="I99" s="28"/>
    </row>
    <row r="100" spans="1:3" ht="12.75">
      <c r="A100" t="s">
        <v>109</v>
      </c>
      <c r="C100" s="27"/>
    </row>
    <row r="101" spans="1:4" ht="12.75">
      <c r="A101" t="s">
        <v>110</v>
      </c>
      <c r="C101" s="27"/>
      <c r="D101" t="s">
        <v>111</v>
      </c>
    </row>
    <row r="102" spans="1:9" ht="12.75">
      <c r="A102" t="s">
        <v>112</v>
      </c>
      <c r="C102" s="27"/>
      <c r="D102" t="s">
        <v>113</v>
      </c>
      <c r="I102" s="26"/>
    </row>
    <row r="103" spans="3:9" ht="12.75">
      <c r="C103" s="54"/>
      <c r="D103" s="27"/>
      <c r="I103" s="26"/>
    </row>
    <row r="104" spans="1:6" ht="12.75">
      <c r="A104" s="27">
        <v>0</v>
      </c>
      <c r="C104" s="55" t="s">
        <v>438</v>
      </c>
      <c r="D104" s="56"/>
      <c r="E104" s="57"/>
      <c r="F104" s="58"/>
    </row>
    <row r="107" ht="12.75">
      <c r="I107" s="28"/>
    </row>
    <row r="110" ht="12.75">
      <c r="I110" s="8" t="s">
        <v>75</v>
      </c>
    </row>
    <row r="112" spans="1:2" ht="12.75">
      <c r="A112" s="40" t="s">
        <v>69</v>
      </c>
      <c r="B112" s="45"/>
    </row>
    <row r="114" spans="1:6" ht="12.75">
      <c r="A114" s="108" t="s">
        <v>357</v>
      </c>
      <c r="B114" s="109"/>
      <c r="C114" s="110"/>
      <c r="D114" s="109"/>
      <c r="E114" s="109"/>
      <c r="F114" s="109"/>
    </row>
    <row r="117" spans="1:6" ht="12.75">
      <c r="A117" s="1" t="s">
        <v>70</v>
      </c>
      <c r="F117" s="47">
        <f>Informatie!F27</f>
        <v>0</v>
      </c>
    </row>
    <row r="119" spans="1:7" ht="12.75">
      <c r="A119" s="1" t="s">
        <v>79</v>
      </c>
      <c r="F119" s="50">
        <f>IF(F117=0,0,IF(F117=1,C83))</f>
        <v>0</v>
      </c>
      <c r="G119" t="s">
        <v>78</v>
      </c>
    </row>
    <row r="120" ht="13.5" thickBot="1">
      <c r="B120" t="s">
        <v>356</v>
      </c>
    </row>
    <row r="121" spans="1:6" ht="13.5" thickBot="1">
      <c r="A121" s="1" t="s">
        <v>80</v>
      </c>
      <c r="F121" s="51">
        <v>0</v>
      </c>
    </row>
    <row r="123" ht="12.75">
      <c r="A123" s="108" t="s">
        <v>358</v>
      </c>
    </row>
    <row r="125" spans="1:9" ht="12.75">
      <c r="A125" s="167" t="s">
        <v>373</v>
      </c>
      <c r="B125" s="168"/>
      <c r="C125" s="168"/>
      <c r="D125" s="168"/>
      <c r="E125" s="168"/>
      <c r="F125" s="168"/>
      <c r="G125" s="168"/>
      <c r="H125" s="168"/>
      <c r="I125" s="169"/>
    </row>
    <row r="126" spans="1:9" ht="12.75">
      <c r="A126" s="170"/>
      <c r="B126" s="171"/>
      <c r="C126" s="171"/>
      <c r="D126" s="171"/>
      <c r="E126" s="171"/>
      <c r="F126" s="171"/>
      <c r="G126" s="171"/>
      <c r="H126" s="171"/>
      <c r="I126" s="172"/>
    </row>
    <row r="127" spans="1:9" ht="12.75">
      <c r="A127" s="135"/>
      <c r="B127" s="136"/>
      <c r="C127" s="136"/>
      <c r="D127" s="136"/>
      <c r="E127" s="136"/>
      <c r="F127" s="136"/>
      <c r="G127" s="136"/>
      <c r="H127" s="136"/>
      <c r="I127" s="147"/>
    </row>
    <row r="130" ht="12.75">
      <c r="A130" s="1" t="s">
        <v>71</v>
      </c>
    </row>
    <row r="131" spans="1:6" ht="12.75">
      <c r="A131" t="s">
        <v>10</v>
      </c>
      <c r="B131" s="28"/>
      <c r="F131" s="47">
        <f>Informatie!F29</f>
        <v>0</v>
      </c>
    </row>
    <row r="132" spans="2:7" ht="12.75">
      <c r="B132" s="1" t="s">
        <v>355</v>
      </c>
      <c r="D132" s="1"/>
      <c r="F132" s="48">
        <v>0</v>
      </c>
      <c r="G132" t="s">
        <v>37</v>
      </c>
    </row>
    <row r="133" spans="2:7" ht="12.75">
      <c r="B133" s="111" t="s">
        <v>359</v>
      </c>
      <c r="C133" s="111"/>
      <c r="D133" s="111"/>
      <c r="F133" s="118">
        <v>0</v>
      </c>
      <c r="G133" t="s">
        <v>78</v>
      </c>
    </row>
    <row r="134" ht="12.75">
      <c r="B134" s="49"/>
    </row>
    <row r="136" ht="12.75">
      <c r="A136" s="1" t="s">
        <v>72</v>
      </c>
    </row>
    <row r="137" spans="1:6" ht="12.75">
      <c r="A137" t="s">
        <v>10</v>
      </c>
      <c r="B137" s="28"/>
      <c r="F137" s="47">
        <f>Informatie!F29</f>
        <v>0</v>
      </c>
    </row>
    <row r="138" spans="2:7" ht="12.75">
      <c r="B138" s="1" t="s">
        <v>355</v>
      </c>
      <c r="D138" s="1"/>
      <c r="F138" s="48">
        <v>0</v>
      </c>
      <c r="G138" t="s">
        <v>37</v>
      </c>
    </row>
    <row r="139" spans="2:7" ht="12.75">
      <c r="B139" s="111" t="s">
        <v>359</v>
      </c>
      <c r="C139" s="111"/>
      <c r="D139" s="111"/>
      <c r="F139" s="118">
        <v>0</v>
      </c>
      <c r="G139" t="s">
        <v>78</v>
      </c>
    </row>
    <row r="140" ht="12.75">
      <c r="B140" s="49"/>
    </row>
    <row r="142" ht="12.75">
      <c r="A142" s="1" t="s">
        <v>74</v>
      </c>
    </row>
    <row r="143" spans="1:6" ht="12.75">
      <c r="A143" t="s">
        <v>10</v>
      </c>
      <c r="B143" s="28"/>
      <c r="F143" s="47">
        <f>Informatie!F29</f>
        <v>0</v>
      </c>
    </row>
    <row r="144" spans="2:7" ht="12.75">
      <c r="B144" s="1" t="s">
        <v>355</v>
      </c>
      <c r="F144" s="48">
        <v>0</v>
      </c>
      <c r="G144" t="s">
        <v>37</v>
      </c>
    </row>
    <row r="145" spans="2:7" ht="12.75">
      <c r="B145" s="111" t="s">
        <v>359</v>
      </c>
      <c r="C145" s="111"/>
      <c r="D145" s="111"/>
      <c r="F145" s="118">
        <v>0</v>
      </c>
      <c r="G145" t="s">
        <v>78</v>
      </c>
    </row>
    <row r="146" ht="12.75">
      <c r="B146" s="49"/>
    </row>
    <row r="148" ht="12.75">
      <c r="A148" s="1" t="s">
        <v>360</v>
      </c>
    </row>
    <row r="150" spans="1:6" ht="12.75">
      <c r="A150" s="1" t="s">
        <v>76</v>
      </c>
      <c r="B150" t="s">
        <v>77</v>
      </c>
      <c r="D150" t="s">
        <v>10</v>
      </c>
      <c r="E150" s="28"/>
      <c r="F150" s="47">
        <f>Informatie!F29</f>
        <v>0</v>
      </c>
    </row>
    <row r="151" spans="2:7" ht="12.75">
      <c r="B151" s="1" t="s">
        <v>355</v>
      </c>
      <c r="F151" s="118">
        <v>0</v>
      </c>
      <c r="G151" t="s">
        <v>37</v>
      </c>
    </row>
    <row r="152" ht="12.75">
      <c r="B152" s="49"/>
    </row>
    <row r="154" ht="12.75">
      <c r="A154" s="108" t="s">
        <v>363</v>
      </c>
    </row>
    <row r="156" ht="12.75">
      <c r="F156" s="117">
        <f>Informatie!F31</f>
        <v>0</v>
      </c>
    </row>
    <row r="158" spans="1:9" ht="12.75">
      <c r="A158" t="s">
        <v>32</v>
      </c>
      <c r="D158" s="27">
        <v>0</v>
      </c>
      <c r="E158" t="s">
        <v>33</v>
      </c>
      <c r="F158" t="s">
        <v>82</v>
      </c>
      <c r="H158" s="27">
        <v>0</v>
      </c>
      <c r="I158" t="s">
        <v>33</v>
      </c>
    </row>
    <row r="160" spans="1:8" ht="12.75">
      <c r="A160" t="s">
        <v>83</v>
      </c>
      <c r="B160" t="s">
        <v>17</v>
      </c>
      <c r="C160" s="26">
        <v>0</v>
      </c>
      <c r="F160" t="s">
        <v>84</v>
      </c>
      <c r="H160" s="28">
        <v>0</v>
      </c>
    </row>
    <row r="161" spans="2:3" ht="12.75">
      <c r="B161" t="s">
        <v>19</v>
      </c>
      <c r="C161" s="26">
        <v>0</v>
      </c>
    </row>
    <row r="162" spans="2:6" ht="12.75">
      <c r="B162" t="s">
        <v>85</v>
      </c>
      <c r="D162" s="26"/>
      <c r="E162" s="27">
        <v>0</v>
      </c>
      <c r="F162" t="s">
        <v>37</v>
      </c>
    </row>
    <row r="164" spans="1:4" ht="12.75">
      <c r="A164" t="s">
        <v>86</v>
      </c>
      <c r="D164" s="26">
        <v>0</v>
      </c>
    </row>
    <row r="165" spans="2:9" ht="12.75">
      <c r="B165" t="s">
        <v>87</v>
      </c>
      <c r="D165" s="27">
        <v>0</v>
      </c>
      <c r="E165" t="s">
        <v>33</v>
      </c>
      <c r="I165" s="8" t="s">
        <v>103</v>
      </c>
    </row>
    <row r="166" spans="1:5" ht="12.75">
      <c r="A166" t="s">
        <v>88</v>
      </c>
      <c r="E166" s="26">
        <v>0</v>
      </c>
    </row>
    <row r="167" spans="2:6" ht="12.75">
      <c r="B167" t="s">
        <v>89</v>
      </c>
      <c r="D167" s="28">
        <v>0</v>
      </c>
      <c r="E167" s="8" t="s">
        <v>90</v>
      </c>
      <c r="F167" s="39">
        <v>0</v>
      </c>
    </row>
    <row r="168" spans="2:9" ht="12.75">
      <c r="B168" t="s">
        <v>91</v>
      </c>
      <c r="D168" s="27">
        <v>0</v>
      </c>
      <c r="E168" t="s">
        <v>50</v>
      </c>
      <c r="F168" t="s">
        <v>92</v>
      </c>
      <c r="H168" s="27">
        <v>0</v>
      </c>
      <c r="I168" t="s">
        <v>33</v>
      </c>
    </row>
    <row r="171" ht="12.75">
      <c r="A171" t="s">
        <v>93</v>
      </c>
    </row>
    <row r="172" spans="2:8" ht="12.75">
      <c r="B172" t="s">
        <v>94</v>
      </c>
      <c r="C172" s="27">
        <v>0</v>
      </c>
      <c r="D172" t="s">
        <v>95</v>
      </c>
      <c r="E172" s="27">
        <v>0</v>
      </c>
      <c r="F172" t="s">
        <v>96</v>
      </c>
      <c r="G172" s="27">
        <v>0</v>
      </c>
      <c r="H172" t="s">
        <v>28</v>
      </c>
    </row>
    <row r="173" spans="2:5" ht="12.75">
      <c r="B173" t="s">
        <v>97</v>
      </c>
      <c r="D173" s="27">
        <v>0</v>
      </c>
      <c r="E173" t="s">
        <v>98</v>
      </c>
    </row>
    <row r="175" spans="1:6" ht="12.75">
      <c r="A175" t="s">
        <v>99</v>
      </c>
      <c r="C175" s="28">
        <v>0</v>
      </c>
      <c r="D175" t="s">
        <v>100</v>
      </c>
      <c r="F175" s="39">
        <v>0</v>
      </c>
    </row>
    <row r="177" ht="12.75">
      <c r="A177" t="s">
        <v>101</v>
      </c>
    </row>
    <row r="178" spans="2:8" ht="12.75">
      <c r="B178" t="s">
        <v>94</v>
      </c>
      <c r="C178" s="27">
        <v>0</v>
      </c>
      <c r="D178" t="s">
        <v>95</v>
      </c>
      <c r="E178" s="27">
        <v>0</v>
      </c>
      <c r="F178" t="s">
        <v>96</v>
      </c>
      <c r="G178" s="27">
        <v>0</v>
      </c>
      <c r="H178" t="s">
        <v>28</v>
      </c>
    </row>
    <row r="179" spans="2:5" ht="12.75">
      <c r="B179" t="s">
        <v>97</v>
      </c>
      <c r="D179" s="27">
        <v>0</v>
      </c>
      <c r="E179" t="s">
        <v>98</v>
      </c>
    </row>
    <row r="181" spans="1:5" ht="12.75">
      <c r="A181" t="s">
        <v>102</v>
      </c>
      <c r="E181" s="28">
        <v>0</v>
      </c>
    </row>
    <row r="183" spans="1:6" ht="12.75">
      <c r="A183" t="s">
        <v>104</v>
      </c>
      <c r="F183" s="28">
        <v>0</v>
      </c>
    </row>
    <row r="184" spans="1:7" ht="12.75">
      <c r="A184" s="52"/>
      <c r="D184" t="s">
        <v>105</v>
      </c>
      <c r="F184" s="27">
        <v>0</v>
      </c>
      <c r="G184" t="s">
        <v>106</v>
      </c>
    </row>
    <row r="186" ht="12.75">
      <c r="A186" s="46" t="s">
        <v>114</v>
      </c>
    </row>
    <row r="188" spans="1:9" ht="12.75">
      <c r="A188" t="s">
        <v>115</v>
      </c>
      <c r="C188" s="27">
        <v>0</v>
      </c>
      <c r="D188" t="s">
        <v>37</v>
      </c>
      <c r="F188" t="s">
        <v>119</v>
      </c>
      <c r="H188" s="27">
        <v>0</v>
      </c>
      <c r="I188" t="s">
        <v>37</v>
      </c>
    </row>
    <row r="189" spans="1:9" ht="12.75">
      <c r="A189" t="s">
        <v>116</v>
      </c>
      <c r="C189" s="27">
        <v>0</v>
      </c>
      <c r="D189" t="s">
        <v>37</v>
      </c>
      <c r="F189" t="s">
        <v>120</v>
      </c>
      <c r="H189" s="27">
        <v>0</v>
      </c>
      <c r="I189" t="s">
        <v>37</v>
      </c>
    </row>
    <row r="190" spans="1:9" ht="12.75">
      <c r="A190" t="s">
        <v>117</v>
      </c>
      <c r="C190" s="27">
        <v>0</v>
      </c>
      <c r="D190" t="s">
        <v>37</v>
      </c>
      <c r="F190" t="s">
        <v>121</v>
      </c>
      <c r="H190" s="27">
        <v>0</v>
      </c>
      <c r="I190" t="s">
        <v>37</v>
      </c>
    </row>
    <row r="191" spans="1:4" ht="12.75">
      <c r="A191" t="s">
        <v>118</v>
      </c>
      <c r="C191" s="27">
        <v>0</v>
      </c>
      <c r="D191" t="s">
        <v>37</v>
      </c>
    </row>
    <row r="194" ht="12.75">
      <c r="A194" s="46" t="s">
        <v>122</v>
      </c>
    </row>
    <row r="196" spans="1:8" ht="12.75">
      <c r="A196" s="1" t="s">
        <v>10</v>
      </c>
      <c r="B196" s="28">
        <v>0</v>
      </c>
      <c r="C196" s="1" t="s">
        <v>90</v>
      </c>
      <c r="D196" s="39">
        <v>0</v>
      </c>
      <c r="E196" s="1" t="s">
        <v>123</v>
      </c>
      <c r="H196" s="59">
        <v>0</v>
      </c>
    </row>
    <row r="197" ht="12.75" customHeight="1">
      <c r="H197" s="59"/>
    </row>
    <row r="198" spans="1:6" ht="12.75" customHeight="1">
      <c r="A198" s="1" t="s">
        <v>124</v>
      </c>
      <c r="E198" s="39">
        <v>0</v>
      </c>
      <c r="F198" t="s">
        <v>30</v>
      </c>
    </row>
    <row r="200" spans="1:5" ht="12.75" customHeight="1">
      <c r="A200" s="1" t="s">
        <v>32</v>
      </c>
      <c r="D200" s="27">
        <v>0</v>
      </c>
      <c r="E200" t="s">
        <v>33</v>
      </c>
    </row>
    <row r="202" ht="12.75" customHeight="1"/>
    <row r="203" ht="12.75">
      <c r="A203" s="46" t="s">
        <v>125</v>
      </c>
    </row>
    <row r="204" ht="12.75" customHeight="1"/>
    <row r="205" spans="1:9" ht="12.75">
      <c r="A205" s="1" t="s">
        <v>123</v>
      </c>
      <c r="D205" s="28">
        <v>0</v>
      </c>
      <c r="E205" s="1" t="s">
        <v>126</v>
      </c>
      <c r="H205" s="27">
        <v>0</v>
      </c>
      <c r="I205" t="s">
        <v>127</v>
      </c>
    </row>
    <row r="207" spans="1:4" ht="12.75">
      <c r="A207" s="1" t="s">
        <v>374</v>
      </c>
      <c r="D207" s="28">
        <v>0</v>
      </c>
    </row>
    <row r="208" ht="12.75" customHeight="1"/>
    <row r="209" ht="12.75" customHeight="1"/>
    <row r="210" spans="3:4" ht="12.75">
      <c r="C210" s="59"/>
      <c r="D210" s="28"/>
    </row>
    <row r="212" spans="1:6" ht="12.75">
      <c r="A212" t="s">
        <v>129</v>
      </c>
      <c r="E212" s="27">
        <v>0</v>
      </c>
      <c r="F212" t="s">
        <v>24</v>
      </c>
    </row>
    <row r="214" spans="1:6" ht="12.75">
      <c r="A214" t="s">
        <v>130</v>
      </c>
      <c r="E214" s="27">
        <v>0</v>
      </c>
      <c r="F214" t="s">
        <v>24</v>
      </c>
    </row>
    <row r="216" spans="1:6" ht="12.75">
      <c r="A216" t="s">
        <v>131</v>
      </c>
      <c r="E216" s="27">
        <v>0</v>
      </c>
      <c r="F216" t="s">
        <v>28</v>
      </c>
    </row>
    <row r="218" spans="1:6" ht="12.75">
      <c r="A218" t="s">
        <v>132</v>
      </c>
      <c r="E218" s="27">
        <v>0</v>
      </c>
      <c r="F218" t="s">
        <v>28</v>
      </c>
    </row>
    <row r="220" spans="1:7" ht="12.75">
      <c r="A220" s="1" t="s">
        <v>133</v>
      </c>
      <c r="F220" s="27">
        <v>0</v>
      </c>
      <c r="G220" t="s">
        <v>50</v>
      </c>
    </row>
    <row r="221" ht="12.75">
      <c r="I221" s="8" t="s">
        <v>439</v>
      </c>
    </row>
    <row r="222" ht="12.75">
      <c r="A222" s="46" t="s">
        <v>134</v>
      </c>
    </row>
    <row r="224" spans="1:5" ht="12.75">
      <c r="A224" t="s">
        <v>10</v>
      </c>
      <c r="B224" s="28">
        <v>0</v>
      </c>
      <c r="D224" s="125">
        <v>0</v>
      </c>
      <c r="E224" t="s">
        <v>135</v>
      </c>
    </row>
    <row r="225" spans="1:5" ht="12.75">
      <c r="A225" t="s">
        <v>10</v>
      </c>
      <c r="B225" s="28">
        <v>0</v>
      </c>
      <c r="D225" s="125">
        <v>0</v>
      </c>
      <c r="E225" t="s">
        <v>135</v>
      </c>
    </row>
    <row r="226" spans="1:5" ht="12.75">
      <c r="A226" t="s">
        <v>10</v>
      </c>
      <c r="B226" s="28">
        <v>0</v>
      </c>
      <c r="D226" s="125">
        <v>0</v>
      </c>
      <c r="E226" t="s">
        <v>135</v>
      </c>
    </row>
    <row r="227" ht="12.75">
      <c r="D227" s="125"/>
    </row>
    <row r="228" spans="1:5" ht="12.75">
      <c r="A228" t="s">
        <v>10</v>
      </c>
      <c r="B228" s="28">
        <v>0</v>
      </c>
      <c r="D228" s="125">
        <v>0</v>
      </c>
      <c r="E228" t="s">
        <v>15</v>
      </c>
    </row>
    <row r="229" spans="1:5" ht="12.75">
      <c r="A229" t="s">
        <v>10</v>
      </c>
      <c r="B229" s="28">
        <v>0</v>
      </c>
      <c r="D229" s="125">
        <v>0</v>
      </c>
      <c r="E229" t="s">
        <v>15</v>
      </c>
    </row>
    <row r="230" spans="1:5" ht="12.75">
      <c r="A230" t="s">
        <v>10</v>
      </c>
      <c r="B230" s="28">
        <v>0</v>
      </c>
      <c r="D230" s="125">
        <v>0</v>
      </c>
      <c r="E230" t="s">
        <v>15</v>
      </c>
    </row>
    <row r="234" ht="12.75">
      <c r="A234" s="46" t="s">
        <v>136</v>
      </c>
    </row>
    <row r="236" spans="2:9" ht="12.75">
      <c r="B236" s="60" t="s">
        <v>137</v>
      </c>
      <c r="C236" s="60" t="s">
        <v>138</v>
      </c>
      <c r="D236" s="61" t="s">
        <v>95</v>
      </c>
      <c r="E236" s="61" t="s">
        <v>139</v>
      </c>
      <c r="F236" s="163" t="s">
        <v>140</v>
      </c>
      <c r="G236" s="164"/>
      <c r="H236" s="163" t="s">
        <v>141</v>
      </c>
      <c r="I236" s="164"/>
    </row>
    <row r="237" spans="1:9" ht="12.75">
      <c r="A237">
        <v>1</v>
      </c>
      <c r="B237" s="126">
        <v>0</v>
      </c>
      <c r="C237" s="118">
        <v>0</v>
      </c>
      <c r="D237" s="118">
        <v>0</v>
      </c>
      <c r="E237" s="130">
        <v>0</v>
      </c>
      <c r="F237" s="131">
        <v>0</v>
      </c>
      <c r="G237" s="13" t="s">
        <v>50</v>
      </c>
      <c r="H237" s="131">
        <v>0</v>
      </c>
      <c r="I237" s="13" t="s">
        <v>37</v>
      </c>
    </row>
    <row r="238" spans="1:9" ht="12.75">
      <c r="A238">
        <v>2</v>
      </c>
      <c r="B238" s="129">
        <v>0</v>
      </c>
      <c r="C238" s="67">
        <v>0</v>
      </c>
      <c r="D238" s="67">
        <v>0</v>
      </c>
      <c r="E238" s="64">
        <v>0</v>
      </c>
      <c r="F238" s="65">
        <v>0</v>
      </c>
      <c r="G238" s="66" t="s">
        <v>50</v>
      </c>
      <c r="H238" s="65">
        <v>0</v>
      </c>
      <c r="I238" s="66" t="s">
        <v>37</v>
      </c>
    </row>
    <row r="239" spans="1:9" ht="12.75">
      <c r="A239">
        <v>3</v>
      </c>
      <c r="B239" s="62">
        <v>0</v>
      </c>
      <c r="C239" s="118">
        <v>0</v>
      </c>
      <c r="D239" s="118">
        <v>0</v>
      </c>
      <c r="E239" s="130">
        <v>0</v>
      </c>
      <c r="F239" s="131">
        <v>0</v>
      </c>
      <c r="G239" s="13" t="s">
        <v>50</v>
      </c>
      <c r="H239" s="131">
        <v>0</v>
      </c>
      <c r="I239" s="13" t="s">
        <v>37</v>
      </c>
    </row>
    <row r="240" spans="1:9" ht="12.75">
      <c r="A240">
        <v>4</v>
      </c>
      <c r="B240" s="62">
        <v>0</v>
      </c>
      <c r="C240" s="67">
        <v>0</v>
      </c>
      <c r="D240" s="67">
        <v>0</v>
      </c>
      <c r="E240" s="64">
        <v>0</v>
      </c>
      <c r="F240" s="65">
        <v>0</v>
      </c>
      <c r="G240" s="66" t="s">
        <v>50</v>
      </c>
      <c r="H240" s="65">
        <v>0</v>
      </c>
      <c r="I240" s="66" t="s">
        <v>37</v>
      </c>
    </row>
    <row r="241" spans="1:9" ht="12.75">
      <c r="A241">
        <v>5</v>
      </c>
      <c r="B241" s="126">
        <v>0</v>
      </c>
      <c r="C241" s="118">
        <v>0</v>
      </c>
      <c r="D241" s="118">
        <v>0</v>
      </c>
      <c r="E241" s="118">
        <v>0</v>
      </c>
      <c r="F241" s="131">
        <v>0</v>
      </c>
      <c r="G241" s="13" t="s">
        <v>50</v>
      </c>
      <c r="H241" s="131">
        <v>0</v>
      </c>
      <c r="I241" s="13" t="s">
        <v>37</v>
      </c>
    </row>
    <row r="244" ht="12.75">
      <c r="A244" s="46" t="s">
        <v>142</v>
      </c>
    </row>
    <row r="246" spans="1:5" ht="12.75">
      <c r="A246" s="1" t="s">
        <v>143</v>
      </c>
      <c r="D246" t="s">
        <v>10</v>
      </c>
      <c r="E246" s="28">
        <v>0</v>
      </c>
    </row>
    <row r="247" spans="1:5" ht="12.75">
      <c r="A247" s="1" t="s">
        <v>144</v>
      </c>
      <c r="D247" t="s">
        <v>10</v>
      </c>
      <c r="E247" s="28">
        <v>0</v>
      </c>
    </row>
    <row r="248" spans="1:5" ht="12.75">
      <c r="A248" t="s">
        <v>145</v>
      </c>
      <c r="D248" s="27">
        <v>0</v>
      </c>
      <c r="E248" t="s">
        <v>146</v>
      </c>
    </row>
    <row r="249" spans="1:5" ht="12.75">
      <c r="A249" t="s">
        <v>147</v>
      </c>
      <c r="D249" s="27">
        <v>0</v>
      </c>
      <c r="E249" t="s">
        <v>146</v>
      </c>
    </row>
    <row r="250" spans="1:5" ht="12.75">
      <c r="A250" s="1" t="s">
        <v>148</v>
      </c>
      <c r="D250" t="s">
        <v>10</v>
      </c>
      <c r="E250" s="28">
        <v>0</v>
      </c>
    </row>
    <row r="251" spans="1:5" ht="12.75">
      <c r="A251" t="s">
        <v>149</v>
      </c>
      <c r="D251" s="27">
        <v>0</v>
      </c>
      <c r="E251" t="s">
        <v>146</v>
      </c>
    </row>
    <row r="252" spans="1:5" ht="12.75">
      <c r="A252" t="s">
        <v>147</v>
      </c>
      <c r="D252" s="27">
        <v>0</v>
      </c>
      <c r="E252" t="s">
        <v>146</v>
      </c>
    </row>
    <row r="253" spans="1:5" ht="12.75">
      <c r="A253" s="1" t="s">
        <v>150</v>
      </c>
      <c r="B253" s="1"/>
      <c r="D253" t="s">
        <v>10</v>
      </c>
      <c r="E253" s="28">
        <v>0</v>
      </c>
    </row>
    <row r="254" spans="1:5" ht="12.75">
      <c r="A254" t="s">
        <v>151</v>
      </c>
      <c r="D254" s="27">
        <v>0</v>
      </c>
      <c r="E254" t="s">
        <v>37</v>
      </c>
    </row>
    <row r="255" spans="1:5" ht="12.75">
      <c r="A255" s="1" t="s">
        <v>152</v>
      </c>
      <c r="B255" s="1"/>
      <c r="D255" t="s">
        <v>10</v>
      </c>
      <c r="E255" s="28">
        <v>0</v>
      </c>
    </row>
    <row r="256" spans="1:5" ht="12.75">
      <c r="A256" t="s">
        <v>153</v>
      </c>
      <c r="D256" s="27">
        <v>0</v>
      </c>
      <c r="E256" t="s">
        <v>154</v>
      </c>
    </row>
    <row r="257" spans="1:5" ht="12.75">
      <c r="A257" s="1" t="s">
        <v>155</v>
      </c>
      <c r="B257" s="1"/>
      <c r="D257" t="s">
        <v>10</v>
      </c>
      <c r="E257" s="28">
        <v>0</v>
      </c>
    </row>
    <row r="258" spans="1:5" ht="12.75">
      <c r="A258" t="s">
        <v>73</v>
      </c>
      <c r="D258" s="27">
        <v>0</v>
      </c>
      <c r="E258" t="s">
        <v>156</v>
      </c>
    </row>
    <row r="259" spans="1:5" ht="12.75">
      <c r="A259" s="1" t="s">
        <v>157</v>
      </c>
      <c r="B259" s="1"/>
      <c r="D259" t="s">
        <v>10</v>
      </c>
      <c r="E259" s="28">
        <v>0</v>
      </c>
    </row>
    <row r="260" spans="1:5" ht="12.75">
      <c r="A260" t="s">
        <v>158</v>
      </c>
      <c r="D260" s="27">
        <v>0</v>
      </c>
      <c r="E260" t="s">
        <v>37</v>
      </c>
    </row>
    <row r="263" ht="12.75">
      <c r="A263" s="46" t="s">
        <v>159</v>
      </c>
    </row>
    <row r="265" spans="1:7" ht="12.75">
      <c r="A265" t="s">
        <v>10</v>
      </c>
      <c r="B265" s="28">
        <v>0</v>
      </c>
      <c r="D265" s="27">
        <v>0</v>
      </c>
      <c r="E265" t="s">
        <v>160</v>
      </c>
      <c r="F265" t="s">
        <v>161</v>
      </c>
      <c r="G265" s="27">
        <v>0</v>
      </c>
    </row>
    <row r="266" spans="1:7" ht="12.75">
      <c r="A266" t="s">
        <v>10</v>
      </c>
      <c r="B266" s="28">
        <v>0</v>
      </c>
      <c r="D266" s="27">
        <v>0</v>
      </c>
      <c r="E266" t="s">
        <v>160</v>
      </c>
      <c r="F266" t="s">
        <v>161</v>
      </c>
      <c r="G266" s="27">
        <v>0</v>
      </c>
    </row>
    <row r="267" spans="1:7" ht="12.75">
      <c r="A267" t="s">
        <v>10</v>
      </c>
      <c r="B267" s="28">
        <v>0</v>
      </c>
      <c r="D267" s="27">
        <v>0</v>
      </c>
      <c r="E267" t="s">
        <v>160</v>
      </c>
      <c r="F267" t="s">
        <v>161</v>
      </c>
      <c r="G267" s="27">
        <v>0</v>
      </c>
    </row>
    <row r="270" ht="12.75">
      <c r="A270" s="46" t="s">
        <v>162</v>
      </c>
    </row>
    <row r="272" spans="1:5" ht="12.75">
      <c r="A272" t="s">
        <v>10</v>
      </c>
      <c r="B272" s="28">
        <v>0</v>
      </c>
      <c r="D272" s="27">
        <v>0</v>
      </c>
      <c r="E272" t="s">
        <v>163</v>
      </c>
    </row>
    <row r="273" spans="1:5" ht="12.75">
      <c r="A273" t="s">
        <v>10</v>
      </c>
      <c r="B273" s="28">
        <v>0</v>
      </c>
      <c r="D273" s="27">
        <v>0</v>
      </c>
      <c r="E273" t="s">
        <v>163</v>
      </c>
    </row>
    <row r="274" spans="1:5" ht="12.75">
      <c r="A274" t="s">
        <v>10</v>
      </c>
      <c r="B274" s="28">
        <v>0</v>
      </c>
      <c r="D274" s="27">
        <v>0</v>
      </c>
      <c r="E274" t="s">
        <v>163</v>
      </c>
    </row>
    <row r="275" spans="1:5" ht="12.75">
      <c r="A275" t="s">
        <v>10</v>
      </c>
      <c r="B275" s="28">
        <v>0</v>
      </c>
      <c r="D275" s="27">
        <v>0</v>
      </c>
      <c r="E275" t="s">
        <v>163</v>
      </c>
    </row>
    <row r="276" spans="1:5" ht="12.75">
      <c r="A276" t="s">
        <v>10</v>
      </c>
      <c r="B276" s="28">
        <v>0</v>
      </c>
      <c r="D276" s="27">
        <v>0</v>
      </c>
      <c r="E276" t="s">
        <v>163</v>
      </c>
    </row>
    <row r="277" ht="12.75">
      <c r="I277" s="8" t="s">
        <v>440</v>
      </c>
    </row>
    <row r="278" ht="12.75">
      <c r="A278" s="46" t="s">
        <v>164</v>
      </c>
    </row>
    <row r="280" spans="1:9" ht="12.75">
      <c r="A280" t="s">
        <v>165</v>
      </c>
      <c r="B280" s="27">
        <v>0</v>
      </c>
      <c r="C280" t="s">
        <v>166</v>
      </c>
      <c r="F280" t="s">
        <v>92</v>
      </c>
      <c r="H280" s="27">
        <v>0</v>
      </c>
      <c r="I280" t="s">
        <v>33</v>
      </c>
    </row>
    <row r="282" spans="1:9" ht="12.75">
      <c r="A282" t="s">
        <v>89</v>
      </c>
      <c r="C282" s="28">
        <v>0</v>
      </c>
      <c r="D282" t="s">
        <v>167</v>
      </c>
      <c r="E282" s="28"/>
      <c r="F282" s="28">
        <v>0</v>
      </c>
      <c r="G282" t="s">
        <v>168</v>
      </c>
      <c r="H282" s="27">
        <v>0</v>
      </c>
      <c r="I282" t="s">
        <v>127</v>
      </c>
    </row>
    <row r="285" ht="12.75">
      <c r="A285" s="46" t="s">
        <v>169</v>
      </c>
    </row>
    <row r="287" spans="1:7" ht="12.75">
      <c r="A287" t="s">
        <v>10</v>
      </c>
      <c r="B287" s="28">
        <v>0</v>
      </c>
      <c r="D287" t="s">
        <v>170</v>
      </c>
      <c r="F287" s="27">
        <v>0</v>
      </c>
      <c r="G287" t="s">
        <v>171</v>
      </c>
    </row>
    <row r="288" spans="1:7" ht="12.75">
      <c r="A288" t="s">
        <v>10</v>
      </c>
      <c r="B288" s="28">
        <v>0</v>
      </c>
      <c r="D288" t="s">
        <v>170</v>
      </c>
      <c r="F288" s="27">
        <v>0</v>
      </c>
      <c r="G288" t="s">
        <v>171</v>
      </c>
    </row>
    <row r="289" spans="1:7" ht="12.75">
      <c r="A289" t="s">
        <v>10</v>
      </c>
      <c r="B289" s="28">
        <v>0</v>
      </c>
      <c r="D289" t="s">
        <v>170</v>
      </c>
      <c r="F289" s="27">
        <v>0</v>
      </c>
      <c r="G289" t="s">
        <v>171</v>
      </c>
    </row>
    <row r="290" spans="1:7" ht="12.75">
      <c r="A290" t="s">
        <v>10</v>
      </c>
      <c r="B290" s="28">
        <v>0</v>
      </c>
      <c r="D290" t="s">
        <v>170</v>
      </c>
      <c r="F290" s="27">
        <v>0</v>
      </c>
      <c r="G290" t="s">
        <v>171</v>
      </c>
    </row>
    <row r="291" spans="1:7" ht="12.75">
      <c r="A291" t="s">
        <v>10</v>
      </c>
      <c r="B291" s="28">
        <v>0</v>
      </c>
      <c r="D291" t="s">
        <v>170</v>
      </c>
      <c r="F291" s="27">
        <v>0</v>
      </c>
      <c r="G291" t="s">
        <v>171</v>
      </c>
    </row>
    <row r="294" spans="1:5" ht="12.75">
      <c r="A294" s="46" t="s">
        <v>172</v>
      </c>
      <c r="D294" t="s">
        <v>10</v>
      </c>
      <c r="E294" s="28">
        <v>0</v>
      </c>
    </row>
    <row r="296" ht="12.75">
      <c r="A296" s="1" t="s">
        <v>173</v>
      </c>
    </row>
    <row r="298" spans="2:3" ht="12.75">
      <c r="B298" s="27">
        <v>0</v>
      </c>
      <c r="C298" t="s">
        <v>15</v>
      </c>
    </row>
    <row r="299" spans="2:3" ht="12.75">
      <c r="B299" s="27">
        <v>0</v>
      </c>
      <c r="C299" t="s">
        <v>174</v>
      </c>
    </row>
    <row r="300" spans="2:6" ht="12.75">
      <c r="B300" s="27">
        <v>0</v>
      </c>
      <c r="C300" t="s">
        <v>175</v>
      </c>
      <c r="D300" t="s">
        <v>176</v>
      </c>
      <c r="E300" s="161">
        <v>0</v>
      </c>
      <c r="F300" s="161"/>
    </row>
    <row r="301" spans="2:3" ht="12.75">
      <c r="B301" s="27">
        <v>0</v>
      </c>
      <c r="C301" t="s">
        <v>171</v>
      </c>
    </row>
    <row r="303" ht="12.75">
      <c r="A303" s="1" t="s">
        <v>177</v>
      </c>
    </row>
    <row r="305" spans="1:3" ht="12.75">
      <c r="A305" t="s">
        <v>10</v>
      </c>
      <c r="B305" s="28">
        <v>0</v>
      </c>
      <c r="C305" s="27"/>
    </row>
    <row r="307" spans="1:4" ht="12.75">
      <c r="A307" s="1" t="s">
        <v>178</v>
      </c>
      <c r="C307" s="27">
        <v>0</v>
      </c>
      <c r="D307" t="s">
        <v>179</v>
      </c>
    </row>
    <row r="308" spans="3:4" ht="12.75">
      <c r="C308" s="27">
        <v>0</v>
      </c>
      <c r="D308" t="s">
        <v>180</v>
      </c>
    </row>
    <row r="309" spans="3:4" ht="12.75">
      <c r="C309" s="27">
        <v>0</v>
      </c>
      <c r="D309" t="s">
        <v>181</v>
      </c>
    </row>
  </sheetData>
  <mergeCells count="7">
    <mergeCell ref="E300:F300"/>
    <mergeCell ref="A1:H1"/>
    <mergeCell ref="F236:G236"/>
    <mergeCell ref="H236:I236"/>
    <mergeCell ref="A92:I93"/>
    <mergeCell ref="A125:I127"/>
    <mergeCell ref="D84:I8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668"/>
  <sheetViews>
    <sheetView workbookViewId="0" topLeftCell="A1">
      <selection activeCell="I177" sqref="I177"/>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375</v>
      </c>
      <c r="B1" s="162"/>
      <c r="C1" s="162"/>
      <c r="D1" s="162"/>
      <c r="E1" s="162"/>
      <c r="F1" s="162"/>
      <c r="G1" s="162"/>
      <c r="H1" s="162"/>
      <c r="I1" s="8" t="s">
        <v>7</v>
      </c>
    </row>
    <row r="3" spans="1:9" ht="12.75">
      <c r="A3" s="1" t="s">
        <v>8</v>
      </c>
      <c r="C3" s="69">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8" t="s">
        <v>246</v>
      </c>
      <c r="B61" s="176"/>
      <c r="C61" s="177"/>
      <c r="D61" s="178" t="s">
        <v>247</v>
      </c>
      <c r="E61" s="177"/>
      <c r="F61" s="178" t="s">
        <v>248</v>
      </c>
      <c r="G61" s="177"/>
      <c r="H61" s="178" t="s">
        <v>249</v>
      </c>
      <c r="I61" s="177"/>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7" ht="15">
      <c r="A97" s="70" t="s">
        <v>62</v>
      </c>
    </row>
    <row r="99" spans="1:8" ht="12.75">
      <c r="A99" s="1" t="s">
        <v>63</v>
      </c>
      <c r="G99" s="8">
        <f>Invoerblad!G80</f>
        <v>0</v>
      </c>
      <c r="H99" t="s">
        <v>24</v>
      </c>
    </row>
    <row r="100" spans="1:5" ht="12.75">
      <c r="A100" t="s">
        <v>25</v>
      </c>
      <c r="D100" s="8">
        <f>Invoerblad!D81</f>
        <v>0</v>
      </c>
      <c r="E100" t="s">
        <v>26</v>
      </c>
    </row>
    <row r="102" spans="1:4" ht="12.75">
      <c r="A102" s="1" t="s">
        <v>64</v>
      </c>
      <c r="B102" s="1"/>
      <c r="C102" s="8">
        <f>Invoerblad!C83</f>
        <v>0</v>
      </c>
      <c r="D102" t="s">
        <v>28</v>
      </c>
    </row>
    <row r="104" spans="1:4" ht="12.75">
      <c r="A104" s="1" t="s">
        <v>65</v>
      </c>
      <c r="B104" s="1"/>
      <c r="C104" s="8">
        <f>Invoerblad!C85</f>
        <v>0</v>
      </c>
      <c r="D104" t="s">
        <v>28</v>
      </c>
    </row>
    <row r="106" spans="1:5" ht="12.75">
      <c r="A106" s="1" t="s">
        <v>66</v>
      </c>
      <c r="D106" s="8">
        <f>Invoerblad!D87</f>
        <v>0</v>
      </c>
      <c r="E106" t="s">
        <v>67</v>
      </c>
    </row>
    <row r="108" spans="1:7" ht="12.75">
      <c r="A108" s="1" t="s">
        <v>361</v>
      </c>
      <c r="B108" s="1"/>
      <c r="F108" s="119">
        <f>Invoerblad!F89</f>
        <v>0</v>
      </c>
      <c r="G108" t="s">
        <v>50</v>
      </c>
    </row>
    <row r="109" spans="2:4" ht="12.75">
      <c r="B109" s="112" t="s">
        <v>453</v>
      </c>
      <c r="C109" s="112"/>
      <c r="D109" s="112"/>
    </row>
    <row r="110" spans="1:8" ht="12.75">
      <c r="A110" s="1" t="s">
        <v>362</v>
      </c>
      <c r="G110" s="119">
        <f>Invoerblad!G91</f>
        <v>0</v>
      </c>
      <c r="H110" t="s">
        <v>50</v>
      </c>
    </row>
    <row r="111" spans="1:9" ht="12.75" customHeight="1">
      <c r="A111" s="165" t="s">
        <v>454</v>
      </c>
      <c r="B111" s="166"/>
      <c r="C111" s="166"/>
      <c r="D111" s="166"/>
      <c r="E111" s="166"/>
      <c r="F111" s="166"/>
      <c r="G111" s="166"/>
      <c r="H111" s="166"/>
      <c r="I111" s="166"/>
    </row>
    <row r="112" spans="1:9" ht="12.75">
      <c r="A112" s="166"/>
      <c r="B112" s="166"/>
      <c r="C112" s="166"/>
      <c r="D112" s="166"/>
      <c r="E112" s="166"/>
      <c r="F112" s="166"/>
      <c r="G112" s="166"/>
      <c r="H112" s="166"/>
      <c r="I112" s="166"/>
    </row>
    <row r="113" ht="12.75">
      <c r="D113" s="73"/>
    </row>
    <row r="114" spans="1:9" ht="12.75">
      <c r="A114" s="63" t="s">
        <v>68</v>
      </c>
      <c r="D114" s="1"/>
      <c r="I114" s="8" t="s">
        <v>75</v>
      </c>
    </row>
    <row r="116" ht="12.75">
      <c r="D116" s="1" t="s">
        <v>107</v>
      </c>
    </row>
    <row r="118" spans="1:4" ht="12.75">
      <c r="A118" s="1" t="s">
        <v>64</v>
      </c>
      <c r="C118" s="8">
        <f>C102</f>
        <v>0</v>
      </c>
      <c r="D118" t="s">
        <v>78</v>
      </c>
    </row>
    <row r="119" spans="7:8" ht="12.75">
      <c r="G119" s="15" t="s">
        <v>109</v>
      </c>
      <c r="H119" s="17"/>
    </row>
    <row r="120" spans="1:8" ht="12.75">
      <c r="A120" s="1" t="s">
        <v>65</v>
      </c>
      <c r="C120" s="8">
        <f>C104</f>
        <v>0</v>
      </c>
      <c r="D120" t="s">
        <v>78</v>
      </c>
      <c r="G120" s="19" t="s">
        <v>110</v>
      </c>
      <c r="H120" s="21"/>
    </row>
    <row r="121" spans="7:8" ht="12.75">
      <c r="G121" s="23" t="s">
        <v>112</v>
      </c>
      <c r="H121" s="25"/>
    </row>
    <row r="122" spans="1:4" ht="12.75">
      <c r="A122" s="1" t="s">
        <v>107</v>
      </c>
      <c r="C122" s="8">
        <f>IF(C118=C120,0,IF(C118&gt;C120,0,IF(C120&gt;C118,C120-C118)))</f>
        <v>0</v>
      </c>
      <c r="D122" t="s">
        <v>78</v>
      </c>
    </row>
    <row r="124" ht="12.75">
      <c r="A124" s="1" t="s">
        <v>253</v>
      </c>
    </row>
    <row r="126" spans="1:6" ht="25.5">
      <c r="A126" s="4" t="s">
        <v>254</v>
      </c>
      <c r="B126" s="166" t="s">
        <v>255</v>
      </c>
      <c r="C126" s="166" t="s">
        <v>256</v>
      </c>
      <c r="D126" s="166" t="s">
        <v>257</v>
      </c>
      <c r="E126" s="166" t="s">
        <v>258</v>
      </c>
      <c r="F126" s="166" t="s">
        <v>259</v>
      </c>
    </row>
    <row r="127" spans="1:6" ht="12.75">
      <c r="A127" s="4"/>
      <c r="B127" s="166"/>
      <c r="C127" s="166" t="s">
        <v>260</v>
      </c>
      <c r="D127" s="166"/>
      <c r="E127" s="166"/>
      <c r="F127" s="166"/>
    </row>
    <row r="128" spans="1:6" ht="12.75">
      <c r="A128" s="10">
        <f>IF(C122=0,0,IF(C122&lt;0,0,IF(I133=0,0,IF(I133=1,0,IF(I133=2,0,IF(I133=3,VLOOKUP(C122,Opzoekingstabellen!A250:G299,2)))))))</f>
        <v>0</v>
      </c>
      <c r="B128" s="10">
        <f>IF(C122=0,0,IF(C122&lt;0,0,IF(I133=0,0,IF(I133=1,0,IF(I133=2,0,IF(I133=3,VLOOKUP(C122,Opzoekingstabellen!A250:G299,3)))))))</f>
        <v>0</v>
      </c>
      <c r="C128" s="10">
        <f>IF(C122=0,0,IF(C122&lt;0,0,IF(I133=0,0,IF(I133=1,0,IF(I133=2,0,IF(I133=3,VLOOKUP(C122,Opzoekingstabellen!A250:G299,4)))))))</f>
        <v>0</v>
      </c>
      <c r="D128" s="10">
        <f>IF(C122=0,0,IF(C122&lt;0,0,IF(I133=0,0,IF(I133=1,0,IF(I133=2,0,IF(I133=3,VLOOKUP(C122,Opzoekingstabellen!A250:G299,5)))))))</f>
        <v>0</v>
      </c>
      <c r="E128" s="10">
        <f>IF(C122=0,0,IF(C122&lt;0,0,IF(I133=0,0,IF(I133=1,0,IF(I133=2,0,IF(I133=3,VLOOKUP(C122,Opzoekingstabellen!A250:G299,6)))))))</f>
        <v>0</v>
      </c>
      <c r="F128" s="10">
        <f>IF(C122=0,0,IF(C122&lt;0,0,IF(I133=0,0,IF(I133=1,0,IF(I133=2,0,IF(I133=3,VLOOKUP(C122,Opzoekingstabellen!A250:G299,7)))))))</f>
        <v>0</v>
      </c>
    </row>
    <row r="130" spans="2:8" ht="12.75">
      <c r="B130" s="181" t="s">
        <v>261</v>
      </c>
      <c r="C130" s="139"/>
      <c r="D130" s="139"/>
      <c r="E130" s="139"/>
      <c r="F130" s="139"/>
      <c r="G130" s="139"/>
      <c r="H130" s="140"/>
    </row>
    <row r="131" spans="2:8" ht="12.75">
      <c r="B131" s="182"/>
      <c r="C131" s="183"/>
      <c r="D131" s="183"/>
      <c r="E131" s="183"/>
      <c r="F131" s="183"/>
      <c r="G131" s="183"/>
      <c r="H131" s="184"/>
    </row>
    <row r="133" ht="12.75">
      <c r="I133" s="88">
        <f>Invoerblad!A104</f>
        <v>0</v>
      </c>
    </row>
    <row r="134" ht="12.75">
      <c r="A134" s="1" t="s">
        <v>352</v>
      </c>
    </row>
    <row r="135" spans="3:9" ht="38.25">
      <c r="C135" s="4" t="s">
        <v>256</v>
      </c>
      <c r="D135" s="4" t="s">
        <v>255</v>
      </c>
      <c r="E135" s="4" t="s">
        <v>254</v>
      </c>
      <c r="H135" s="181" t="s">
        <v>262</v>
      </c>
      <c r="I135" s="140"/>
    </row>
    <row r="136" spans="1:9" ht="12.75">
      <c r="A136" t="s">
        <v>45</v>
      </c>
      <c r="C136" s="4"/>
      <c r="D136" s="4"/>
      <c r="E136" s="4"/>
      <c r="H136" s="141"/>
      <c r="I136" s="143"/>
    </row>
    <row r="137" spans="3:9" ht="12.75">
      <c r="C137" s="10">
        <f>IF(C122=0,0,IF(C122&lt;0,0,IF(I133=3,0,IF(I133=0,0,IF(I133=2,0,IF(I133=1,VLOOKUP(C122,Opzoekingstabellen!A306:D355,2)))))))</f>
        <v>0</v>
      </c>
      <c r="D137" s="8">
        <f>IF(C122=0,0,IF(C122&lt;0,0,IF(I133=3,0,IF(I133=0,0,IF(I133=2,0,IF(I133=1,VLOOKUP(C122,Opzoekingstabellen!A306:D355,3)))))))</f>
        <v>0</v>
      </c>
      <c r="E137" s="8">
        <f>IF(C122=0,0,IF(C122&lt;0,0,IF(I133=3,0,IF(I133=0,0,IF(I133=2,0,IF(I133=1,VLOOKUP(C122,Opzoekingstabellen!A306:D355,4,)))))))</f>
        <v>0</v>
      </c>
      <c r="H137" s="141"/>
      <c r="I137" s="143"/>
    </row>
    <row r="138" spans="8:9" ht="12.75">
      <c r="H138" s="135"/>
      <c r="I138" s="147"/>
    </row>
    <row r="139" spans="3:5" ht="25.5">
      <c r="C139" s="4" t="s">
        <v>260</v>
      </c>
      <c r="D139" s="4" t="s">
        <v>255</v>
      </c>
      <c r="E139" s="4" t="s">
        <v>254</v>
      </c>
    </row>
    <row r="140" spans="1:5" ht="12.75">
      <c r="A140" t="s">
        <v>263</v>
      </c>
      <c r="C140" s="4"/>
      <c r="D140" s="4"/>
      <c r="E140" s="4"/>
    </row>
    <row r="141" spans="3:5" ht="12.75">
      <c r="C141" s="8">
        <f>IF(C122=0,0,IF(C122&lt;0,0,IF(I133=3,0,IF(I133=0,0,IF(I133=1,0,IF(I133=2,VLOOKUP(C122,Opzoekingstabellen!A306:H355,6)))))))</f>
        <v>0</v>
      </c>
      <c r="D141" s="8">
        <f>IF(C122=0,0,IF(C122&lt;0,0,IF(I133=3,0,IF(I133=0,0,IF(I133=1,0,IF(I133=2,VLOOKUP(C122,Opzoekingstabellen!A306:H355,7)))))))</f>
        <v>0</v>
      </c>
      <c r="E141" s="8">
        <f>IF(C122=0,0,IF(C122&lt;0,0,IF(I133=3,0,IF(I133=0,0,IF(I133=1,0,IF(I133=2,VLOOKUP(C122,Opzoekingstabellen!A306:H355,8)))))))</f>
        <v>0</v>
      </c>
    </row>
    <row r="143" spans="1:7" ht="12.75">
      <c r="A143" s="1" t="s">
        <v>264</v>
      </c>
      <c r="G143">
        <f>IF(I133=0,0,IF(I133=3,"Gewone zuren",IF(I133=1,"Gemengde zuren A",IF(I133=2,"Gemengde zuren B"))))</f>
        <v>0</v>
      </c>
    </row>
    <row r="145" spans="3:4" ht="12.75">
      <c r="C145" s="8">
        <f>IF(I133=3,C128,IF(I133=1,C137,IF(I133=2,C141)))*G110</f>
        <v>0</v>
      </c>
      <c r="D145" t="s">
        <v>265</v>
      </c>
    </row>
    <row r="146" spans="2:4" ht="12.75">
      <c r="B146" t="s">
        <v>266</v>
      </c>
      <c r="C146" s="10">
        <f>IF(I133=3,B128,IF(I133=1,D137,IF(I133=2,D141)))*G110</f>
        <v>0</v>
      </c>
      <c r="D146" t="s">
        <v>267</v>
      </c>
    </row>
    <row r="147" spans="2:4" ht="12.75">
      <c r="B147" t="s">
        <v>266</v>
      </c>
      <c r="C147" s="10">
        <f>IF(I133=3,A128,IF(I133=1,E137,IF(I133=2,E141)))*G110</f>
        <v>0</v>
      </c>
      <c r="D147" t="s">
        <v>268</v>
      </c>
    </row>
    <row r="148" ht="12.75" customHeight="1"/>
    <row r="149" spans="1:5" ht="12.75" customHeight="1">
      <c r="A149" t="s">
        <v>266</v>
      </c>
      <c r="B149" t="s">
        <v>269</v>
      </c>
      <c r="C149" s="54">
        <v>0.5</v>
      </c>
      <c r="D149" s="8">
        <f>IF(I133=3,D128,IF(I133=1,D128,IF(I133=2,D128)))*G110</f>
        <v>0</v>
      </c>
      <c r="E149" t="s">
        <v>270</v>
      </c>
    </row>
    <row r="150" spans="3:5" ht="12.75">
      <c r="C150" s="54">
        <v>0.8</v>
      </c>
      <c r="D150" s="8">
        <f>IF(I133=3,E128,IF(I133=1,E128,IF(I133=2,E128)))*G110</f>
        <v>0</v>
      </c>
      <c r="E150" t="s">
        <v>270</v>
      </c>
    </row>
    <row r="151" spans="3:5" ht="12.75">
      <c r="C151" s="54">
        <v>0.9</v>
      </c>
      <c r="D151" s="73">
        <f>IF(I133=3,F128,IF(I133=1,F128,IF(I133=2,F128)))*G110</f>
        <v>0</v>
      </c>
      <c r="E151" t="s">
        <v>270</v>
      </c>
    </row>
    <row r="152" ht="12.75" customHeight="1"/>
    <row r="153" spans="1:9" ht="12.75">
      <c r="A153" s="1" t="s">
        <v>353</v>
      </c>
      <c r="B153" s="1"/>
      <c r="D153" t="s">
        <v>265</v>
      </c>
      <c r="F153" s="1" t="s">
        <v>354</v>
      </c>
      <c r="G153" s="54">
        <v>0.5</v>
      </c>
      <c r="I153" t="s">
        <v>154</v>
      </c>
    </row>
    <row r="154" spans="4:9" ht="12.75" customHeight="1">
      <c r="D154" t="s">
        <v>267</v>
      </c>
      <c r="G154" s="54">
        <v>0.8</v>
      </c>
      <c r="I154" t="s">
        <v>154</v>
      </c>
    </row>
    <row r="155" spans="4:9" ht="12.75" customHeight="1">
      <c r="D155" t="s">
        <v>268</v>
      </c>
      <c r="G155" s="54">
        <v>0.9</v>
      </c>
      <c r="I155" t="s">
        <v>154</v>
      </c>
    </row>
    <row r="156" ht="12.75" customHeight="1"/>
    <row r="157" ht="12.75" customHeight="1">
      <c r="A157" s="38" t="s">
        <v>271</v>
      </c>
    </row>
    <row r="158" ht="12.75" customHeight="1"/>
    <row r="159" spans="2:7" ht="12.75" customHeight="1">
      <c r="B159" s="185" t="s">
        <v>376</v>
      </c>
      <c r="C159" s="186"/>
      <c r="D159" s="186"/>
      <c r="E159" s="186"/>
      <c r="F159" s="186"/>
      <c r="G159" s="146"/>
    </row>
    <row r="160" ht="12.75" customHeight="1"/>
    <row r="161" spans="1:6" ht="12.75" customHeight="1">
      <c r="A161" t="s">
        <v>272</v>
      </c>
      <c r="E161" s="8"/>
      <c r="F161" t="s">
        <v>50</v>
      </c>
    </row>
    <row r="163" spans="1:6" ht="12.75">
      <c r="A163" t="s">
        <v>273</v>
      </c>
      <c r="E163" s="8"/>
      <c r="F163" t="s">
        <v>50</v>
      </c>
    </row>
    <row r="164" ht="12.75" customHeight="1"/>
    <row r="165" spans="1:6" ht="12.75">
      <c r="A165" t="s">
        <v>274</v>
      </c>
      <c r="E165" s="8"/>
      <c r="F165" t="s">
        <v>28</v>
      </c>
    </row>
    <row r="167" spans="1:6" ht="12.75">
      <c r="A167" t="s">
        <v>275</v>
      </c>
      <c r="E167" s="8"/>
      <c r="F167" t="s">
        <v>28</v>
      </c>
    </row>
    <row r="169" spans="1:9" ht="12.75">
      <c r="A169" t="s">
        <v>276</v>
      </c>
      <c r="C169" s="8">
        <f>(E161+E163)</f>
        <v>0</v>
      </c>
      <c r="D169" t="s">
        <v>277</v>
      </c>
      <c r="F169" s="10">
        <f>IF(E161=0,0,((E161*E165)+(E163*E167))/C169)</f>
        <v>0</v>
      </c>
      <c r="G169" t="s">
        <v>28</v>
      </c>
      <c r="I169" s="8" t="s">
        <v>103</v>
      </c>
    </row>
    <row r="171" ht="12.75">
      <c r="A171" s="38" t="s">
        <v>278</v>
      </c>
    </row>
    <row r="173" spans="1:7" ht="12.75">
      <c r="A173" s="1" t="s">
        <v>279</v>
      </c>
      <c r="F173" s="8">
        <f>G110</f>
        <v>0</v>
      </c>
      <c r="G173" t="s">
        <v>16</v>
      </c>
    </row>
    <row r="175" spans="1:7" ht="12.75">
      <c r="A175" s="1" t="s">
        <v>280</v>
      </c>
      <c r="F175" s="10">
        <f>D100</f>
        <v>0</v>
      </c>
      <c r="G175" t="s">
        <v>26</v>
      </c>
    </row>
    <row r="177" spans="1:7" ht="12.75">
      <c r="A177" s="1" t="s">
        <v>379</v>
      </c>
      <c r="F177" s="120">
        <v>0</v>
      </c>
      <c r="G177" t="s">
        <v>78</v>
      </c>
    </row>
    <row r="178" ht="12.75">
      <c r="B178" t="s">
        <v>378</v>
      </c>
    </row>
    <row r="180" spans="1:8" ht="12.75">
      <c r="A180" s="38" t="s">
        <v>377</v>
      </c>
      <c r="G180" s="187" t="s">
        <v>455</v>
      </c>
      <c r="H180" s="187"/>
    </row>
    <row r="183" spans="1:9" ht="12.75">
      <c r="A183" s="178" t="s">
        <v>281</v>
      </c>
      <c r="B183" s="176"/>
      <c r="C183" s="177"/>
      <c r="D183" s="178" t="s">
        <v>282</v>
      </c>
      <c r="E183" s="176"/>
      <c r="F183" s="177"/>
      <c r="G183" s="178" t="s">
        <v>283</v>
      </c>
      <c r="H183" s="176"/>
      <c r="I183" s="177"/>
    </row>
    <row r="184" spans="1:9" ht="12.75">
      <c r="A184" s="11" t="s">
        <v>284</v>
      </c>
      <c r="B184" s="80"/>
      <c r="C184" s="81"/>
      <c r="D184" s="11" t="s">
        <v>285</v>
      </c>
      <c r="E184" s="176" t="s">
        <v>286</v>
      </c>
      <c r="F184" s="177"/>
      <c r="G184" s="178">
        <f>(D69*1.2)/10</f>
        <v>0</v>
      </c>
      <c r="H184" s="176"/>
      <c r="I184" s="81" t="s">
        <v>37</v>
      </c>
    </row>
    <row r="185" spans="1:9" ht="12.75">
      <c r="A185" s="19" t="s">
        <v>287</v>
      </c>
      <c r="B185" s="20"/>
      <c r="C185" s="21"/>
      <c r="D185" s="11" t="s">
        <v>285</v>
      </c>
      <c r="E185" s="176" t="s">
        <v>288</v>
      </c>
      <c r="F185" s="177"/>
      <c r="G185" s="178">
        <f>(F69*1.2)/10</f>
        <v>0</v>
      </c>
      <c r="H185" s="176"/>
      <c r="I185" s="81" t="s">
        <v>37</v>
      </c>
    </row>
    <row r="186" spans="1:9" ht="12.75">
      <c r="A186" s="15" t="s">
        <v>289</v>
      </c>
      <c r="B186" s="16"/>
      <c r="C186" s="17"/>
      <c r="D186" s="11" t="s">
        <v>285</v>
      </c>
      <c r="E186" s="176" t="s">
        <v>290</v>
      </c>
      <c r="F186" s="177"/>
      <c r="G186" s="178">
        <f>(E110*3)/10</f>
        <v>0</v>
      </c>
      <c r="H186" s="176"/>
      <c r="I186" s="81" t="s">
        <v>37</v>
      </c>
    </row>
    <row r="187" spans="1:9" ht="12.75">
      <c r="A187" s="11" t="s">
        <v>291</v>
      </c>
      <c r="B187" s="80"/>
      <c r="C187" s="81"/>
      <c r="D187" s="11" t="s">
        <v>285</v>
      </c>
      <c r="E187" s="176" t="s">
        <v>292</v>
      </c>
      <c r="F187" s="177"/>
      <c r="G187" s="178">
        <f>(E110*10)/10</f>
        <v>0</v>
      </c>
      <c r="H187" s="176"/>
      <c r="I187" s="81" t="s">
        <v>37</v>
      </c>
    </row>
    <row r="188" spans="1:9" ht="12.75">
      <c r="A188" s="23" t="s">
        <v>293</v>
      </c>
      <c r="B188" s="24"/>
      <c r="C188" s="25"/>
      <c r="D188" s="11" t="s">
        <v>285</v>
      </c>
      <c r="E188" s="176" t="s">
        <v>294</v>
      </c>
      <c r="F188" s="177"/>
      <c r="G188" s="178">
        <f>(D108*8)/10</f>
        <v>0</v>
      </c>
      <c r="H188" s="176"/>
      <c r="I188" s="81" t="s">
        <v>37</v>
      </c>
    </row>
    <row r="189" spans="1:9" ht="12.75">
      <c r="A189" s="19" t="s">
        <v>295</v>
      </c>
      <c r="B189" s="20"/>
      <c r="C189" s="21"/>
      <c r="D189" s="11" t="s">
        <v>285</v>
      </c>
      <c r="E189" s="176" t="s">
        <v>296</v>
      </c>
      <c r="F189" s="177"/>
      <c r="G189" s="178">
        <f>(E110*5)/10</f>
        <v>0</v>
      </c>
      <c r="H189" s="176"/>
      <c r="I189" s="81" t="s">
        <v>37</v>
      </c>
    </row>
    <row r="190" spans="1:9" ht="12.75">
      <c r="A190" s="11" t="s">
        <v>297</v>
      </c>
      <c r="B190" s="80"/>
      <c r="C190" s="81"/>
      <c r="D190" s="11" t="s">
        <v>285</v>
      </c>
      <c r="E190" s="176" t="s">
        <v>296</v>
      </c>
      <c r="F190" s="177"/>
      <c r="G190" s="178">
        <f>(E110*5)/10</f>
        <v>0</v>
      </c>
      <c r="H190" s="176"/>
      <c r="I190" s="81" t="s">
        <v>37</v>
      </c>
    </row>
    <row r="194" ht="12.75">
      <c r="A194" s="38" t="s">
        <v>114</v>
      </c>
    </row>
    <row r="196" spans="1:8" ht="12.75">
      <c r="A196" t="s">
        <v>115</v>
      </c>
      <c r="C196" s="8">
        <f>Invoerblad!C188</f>
        <v>0</v>
      </c>
      <c r="D196" t="s">
        <v>37</v>
      </c>
      <c r="E196" t="s">
        <v>119</v>
      </c>
      <c r="G196" s="8">
        <f>Invoerblad!H188</f>
        <v>0</v>
      </c>
      <c r="H196" t="s">
        <v>37</v>
      </c>
    </row>
    <row r="197" spans="1:8" ht="12.75">
      <c r="A197" t="s">
        <v>116</v>
      </c>
      <c r="C197" s="8">
        <f>Invoerblad!C189</f>
        <v>0</v>
      </c>
      <c r="D197" t="s">
        <v>37</v>
      </c>
      <c r="E197" t="s">
        <v>120</v>
      </c>
      <c r="G197" s="8">
        <f>Invoerblad!H189</f>
        <v>0</v>
      </c>
      <c r="H197" t="s">
        <v>37</v>
      </c>
    </row>
    <row r="198" spans="1:8" ht="12.75">
      <c r="A198" t="s">
        <v>117</v>
      </c>
      <c r="C198" s="8">
        <f>Invoerblad!C190</f>
        <v>0</v>
      </c>
      <c r="D198" t="s">
        <v>37</v>
      </c>
      <c r="E198" t="s">
        <v>121</v>
      </c>
      <c r="G198" s="8">
        <f>Invoerblad!H190</f>
        <v>0</v>
      </c>
      <c r="H198" t="s">
        <v>37</v>
      </c>
    </row>
    <row r="199" spans="1:4" ht="12.75">
      <c r="A199" t="s">
        <v>118</v>
      </c>
      <c r="C199" s="8">
        <f>Invoerblad!C191</f>
        <v>0</v>
      </c>
      <c r="D199" t="s">
        <v>37</v>
      </c>
    </row>
    <row r="202" ht="12.75">
      <c r="A202" s="63" t="s">
        <v>122</v>
      </c>
    </row>
    <row r="204" spans="1:8" ht="12.75">
      <c r="A204" s="1" t="s">
        <v>10</v>
      </c>
      <c r="B204" s="69">
        <f>Invoerblad!B196</f>
        <v>0</v>
      </c>
      <c r="C204" s="1" t="s">
        <v>90</v>
      </c>
      <c r="D204" s="71">
        <f>Invoerblad!D196</f>
        <v>0</v>
      </c>
      <c r="E204" s="1" t="s">
        <v>123</v>
      </c>
      <c r="H204" s="69">
        <f>Invoerblad!H196</f>
        <v>0</v>
      </c>
    </row>
    <row r="206" spans="1:6" ht="12.75">
      <c r="A206" s="1" t="s">
        <v>124</v>
      </c>
      <c r="E206" s="71">
        <f>Invoerblad!E198</f>
        <v>0</v>
      </c>
      <c r="F206" t="s">
        <v>30</v>
      </c>
    </row>
    <row r="208" spans="1:5" ht="12.75">
      <c r="A208" s="1" t="s">
        <v>32</v>
      </c>
      <c r="D208" s="71">
        <f>Invoerblad!D200</f>
        <v>0</v>
      </c>
      <c r="E208" t="s">
        <v>33</v>
      </c>
    </row>
    <row r="210" ht="12.75">
      <c r="A210" s="63" t="s">
        <v>125</v>
      </c>
    </row>
    <row r="212" spans="1:9" ht="12.75">
      <c r="A212" s="1" t="s">
        <v>123</v>
      </c>
      <c r="D212" s="69">
        <f>Invoerblad!D205</f>
        <v>0</v>
      </c>
      <c r="E212" s="1" t="s">
        <v>126</v>
      </c>
      <c r="H212" s="8">
        <f>Invoerblad!H205</f>
        <v>0</v>
      </c>
      <c r="I212" t="s">
        <v>127</v>
      </c>
    </row>
    <row r="214" spans="1:3" ht="12.75">
      <c r="A214" s="1" t="s">
        <v>128</v>
      </c>
      <c r="C214">
        <f>Invoerblad!C207</f>
        <v>0</v>
      </c>
    </row>
    <row r="216" ht="12.75">
      <c r="C216" s="69"/>
    </row>
    <row r="217" spans="1:6" ht="12.75">
      <c r="A217" t="s">
        <v>129</v>
      </c>
      <c r="E217" s="8">
        <f>Invoerblad!E212</f>
        <v>0</v>
      </c>
      <c r="F217" t="s">
        <v>24</v>
      </c>
    </row>
    <row r="219" spans="1:6" ht="12.75">
      <c r="A219" t="s">
        <v>130</v>
      </c>
      <c r="E219" s="8">
        <f>Invoerblad!E214</f>
        <v>0</v>
      </c>
      <c r="F219" t="s">
        <v>24</v>
      </c>
    </row>
    <row r="221" spans="1:6" ht="12.75">
      <c r="A221" t="s">
        <v>131</v>
      </c>
      <c r="E221" s="8">
        <f>Invoerblad!E216</f>
        <v>0</v>
      </c>
      <c r="F221" t="s">
        <v>28</v>
      </c>
    </row>
    <row r="223" spans="1:6" ht="12.75">
      <c r="A223" t="s">
        <v>132</v>
      </c>
      <c r="E223" s="8">
        <f>Invoerblad!E218</f>
        <v>0</v>
      </c>
      <c r="F223" t="s">
        <v>28</v>
      </c>
    </row>
    <row r="225" spans="1:7" ht="12.75">
      <c r="A225" s="1" t="s">
        <v>133</v>
      </c>
      <c r="F225" s="8">
        <f>Invoerblad!F220</f>
        <v>0</v>
      </c>
      <c r="G225" t="s">
        <v>50</v>
      </c>
    </row>
    <row r="227" ht="12.75">
      <c r="I227" s="8" t="s">
        <v>439</v>
      </c>
    </row>
    <row r="231" ht="12.75">
      <c r="A231" s="63" t="s">
        <v>298</v>
      </c>
    </row>
    <row r="233" spans="1:8" ht="12.75">
      <c r="A233" t="s">
        <v>299</v>
      </c>
      <c r="C233" s="87">
        <f>F177</f>
        <v>0</v>
      </c>
      <c r="G233" s="86">
        <f>IF(C233=0,0,IF(E235&gt;C237,(E235-C237),IF(C237&gt;E235,(C237-E235))))</f>
        <v>0</v>
      </c>
      <c r="H233" t="s">
        <v>50</v>
      </c>
    </row>
    <row r="235" ht="12.75">
      <c r="E235" s="88">
        <f>F177</f>
        <v>0</v>
      </c>
    </row>
    <row r="237" spans="1:8" ht="12.75">
      <c r="A237" t="s">
        <v>300</v>
      </c>
      <c r="C237" s="86">
        <f>Invoerblad!F121</f>
        <v>0</v>
      </c>
      <c r="G237" s="87">
        <f>IF(C233=0,0,IF(C233=E235,0))</f>
        <v>0</v>
      </c>
      <c r="H237" t="s">
        <v>50</v>
      </c>
    </row>
    <row r="239" spans="1:7" ht="12.75">
      <c r="A239" s="1" t="s">
        <v>301</v>
      </c>
      <c r="F239" s="10">
        <f>F175</f>
        <v>0</v>
      </c>
      <c r="G239" t="s">
        <v>26</v>
      </c>
    </row>
    <row r="242" spans="5:7" ht="12.75">
      <c r="E242" s="8" t="s">
        <v>302</v>
      </c>
      <c r="F242" s="89">
        <f>IF(C233=0,0,IF(C233&gt;10,-30,IF(C233&gt;6,-25,IF(C233&lt;=6,-20))))</f>
        <v>0</v>
      </c>
      <c r="G242" t="s">
        <v>303</v>
      </c>
    </row>
    <row r="243" spans="6:7" ht="12.75">
      <c r="F243" s="10">
        <f>F242+F239</f>
        <v>0</v>
      </c>
      <c r="G243" t="s">
        <v>304</v>
      </c>
    </row>
    <row r="246" ht="12.75">
      <c r="A246" s="38" t="s">
        <v>305</v>
      </c>
    </row>
    <row r="248" spans="1:7" ht="12.75">
      <c r="A248" s="73">
        <f>G233</f>
        <v>0</v>
      </c>
      <c r="B248" t="s">
        <v>306</v>
      </c>
      <c r="C248" s="10">
        <f>G237</f>
        <v>0</v>
      </c>
      <c r="D248" t="s">
        <v>307</v>
      </c>
      <c r="F248" s="166" t="s">
        <v>308</v>
      </c>
      <c r="G248" s="90">
        <f>G237</f>
        <v>0</v>
      </c>
    </row>
    <row r="249" spans="6:7" ht="12.75">
      <c r="F249" s="166"/>
      <c r="G249" s="73">
        <f>G233</f>
        <v>0</v>
      </c>
    </row>
    <row r="250" spans="1:9" ht="12.75">
      <c r="A250" s="179">
        <f>IF(F225&gt;F173,F225,F173)</f>
        <v>0</v>
      </c>
      <c r="B250" s="179" t="s">
        <v>309</v>
      </c>
      <c r="C250" s="89">
        <f>A250</f>
        <v>0</v>
      </c>
      <c r="D250" s="89" t="s">
        <v>310</v>
      </c>
      <c r="E250" s="90">
        <f>G248</f>
        <v>0</v>
      </c>
      <c r="F250" s="166" t="s">
        <v>311</v>
      </c>
      <c r="G250" s="180">
        <f>IF(C233=0,0,IF(E235=C233,0,(C250*E250)/D251))</f>
        <v>0</v>
      </c>
      <c r="H250" s="166" t="s">
        <v>307</v>
      </c>
      <c r="I250" s="166"/>
    </row>
    <row r="251" spans="1:9" ht="12.75">
      <c r="A251" s="179"/>
      <c r="B251" s="179"/>
      <c r="D251" s="73">
        <f>G249</f>
        <v>0</v>
      </c>
      <c r="F251" s="166"/>
      <c r="G251" s="180"/>
      <c r="H251" s="166"/>
      <c r="I251" s="166"/>
    </row>
    <row r="252" spans="1:9" ht="12.75">
      <c r="A252" s="1" t="s">
        <v>312</v>
      </c>
      <c r="C252" s="8">
        <f>A250</f>
        <v>0</v>
      </c>
      <c r="D252" t="s">
        <v>313</v>
      </c>
      <c r="E252" s="10">
        <f>G250</f>
        <v>0</v>
      </c>
      <c r="F252" t="s">
        <v>314</v>
      </c>
      <c r="H252" s="3">
        <f>C252+E252</f>
        <v>0</v>
      </c>
      <c r="I252" t="s">
        <v>315</v>
      </c>
    </row>
    <row r="253" ht="12.75">
      <c r="A253" s="38" t="s">
        <v>225</v>
      </c>
    </row>
    <row r="255" spans="1:5" ht="12.75">
      <c r="A255" s="8">
        <f>D106</f>
        <v>0</v>
      </c>
      <c r="B255" t="s">
        <v>316</v>
      </c>
      <c r="D255" s="8">
        <f>A255*18</f>
        <v>0</v>
      </c>
      <c r="E255" t="s">
        <v>26</v>
      </c>
    </row>
    <row r="260" spans="1:4" ht="12.75" customHeight="1">
      <c r="A260" s="1" t="s">
        <v>317</v>
      </c>
      <c r="C260" s="8">
        <f>D255</f>
        <v>0</v>
      </c>
      <c r="D260" t="s">
        <v>26</v>
      </c>
    </row>
    <row r="261" spans="2:4" ht="12.75">
      <c r="B261" s="8" t="s">
        <v>310</v>
      </c>
      <c r="C261" s="90">
        <f>H252</f>
        <v>0</v>
      </c>
      <c r="D261" t="s">
        <v>50</v>
      </c>
    </row>
    <row r="262" spans="1:4" ht="12.75">
      <c r="A262" s="1" t="s">
        <v>318</v>
      </c>
      <c r="C262" s="10">
        <f>(C260*C261)/1000</f>
        <v>0</v>
      </c>
      <c r="D262" t="s">
        <v>319</v>
      </c>
    </row>
    <row r="264" spans="1:4" ht="12.75">
      <c r="A264" s="1" t="s">
        <v>320</v>
      </c>
      <c r="C264" s="74">
        <f>F243</f>
        <v>0</v>
      </c>
      <c r="D264" t="s">
        <v>26</v>
      </c>
    </row>
    <row r="265" spans="2:4" ht="12.75">
      <c r="B265" s="8" t="s">
        <v>310</v>
      </c>
      <c r="C265" s="89">
        <f>A250</f>
        <v>0</v>
      </c>
      <c r="D265" t="s">
        <v>50</v>
      </c>
    </row>
    <row r="266" spans="1:4" ht="12.75">
      <c r="A266" s="1" t="s">
        <v>318</v>
      </c>
      <c r="C266" s="10">
        <f>(C264*C265)/1000</f>
        <v>0</v>
      </c>
      <c r="D266" t="s">
        <v>319</v>
      </c>
    </row>
    <row r="268" ht="12.75">
      <c r="A268" s="1" t="s">
        <v>321</v>
      </c>
    </row>
    <row r="269" spans="3:4" ht="12.75">
      <c r="C269" s="10">
        <f>C262</f>
        <v>0</v>
      </c>
      <c r="D269" t="s">
        <v>322</v>
      </c>
    </row>
    <row r="270" spans="2:4" ht="12.75">
      <c r="B270" s="8" t="s">
        <v>302</v>
      </c>
      <c r="C270" s="90">
        <f>C266</f>
        <v>0</v>
      </c>
      <c r="D270" t="s">
        <v>323</v>
      </c>
    </row>
    <row r="271" spans="1:4" ht="12.75">
      <c r="A271" s="1" t="s">
        <v>318</v>
      </c>
      <c r="C271" s="10">
        <f>C269-C270</f>
        <v>0</v>
      </c>
      <c r="D271" t="s">
        <v>324</v>
      </c>
    </row>
    <row r="273" ht="12.75">
      <c r="A273" s="72" t="s">
        <v>325</v>
      </c>
    </row>
    <row r="275" ht="12.75">
      <c r="A275" s="1" t="s">
        <v>326</v>
      </c>
    </row>
    <row r="277" spans="4:5" ht="12.75">
      <c r="D277" s="10">
        <f>G250</f>
        <v>0</v>
      </c>
      <c r="E277" t="s">
        <v>50</v>
      </c>
    </row>
    <row r="278" spans="1:5" ht="12.75">
      <c r="A278" s="8" t="s">
        <v>302</v>
      </c>
      <c r="B278" s="10">
        <f>C271</f>
        <v>0</v>
      </c>
      <c r="C278" s="8" t="s">
        <v>327</v>
      </c>
      <c r="D278" s="90">
        <f>B278*0.6</f>
        <v>0</v>
      </c>
      <c r="E278" t="s">
        <v>328</v>
      </c>
    </row>
    <row r="280" spans="3:5" ht="12.75">
      <c r="C280" s="1" t="s">
        <v>318</v>
      </c>
      <c r="D280" s="10">
        <f>D277-D278</f>
        <v>0</v>
      </c>
      <c r="E280" t="s">
        <v>329</v>
      </c>
    </row>
    <row r="285" spans="1:9" ht="12.75">
      <c r="A285" s="38" t="s">
        <v>330</v>
      </c>
      <c r="I285" s="8" t="s">
        <v>440</v>
      </c>
    </row>
    <row r="287" spans="1:6" ht="12.75">
      <c r="A287" s="91" t="s">
        <v>137</v>
      </c>
      <c r="B287" s="178" t="s">
        <v>331</v>
      </c>
      <c r="C287" s="176"/>
      <c r="D287" s="177"/>
      <c r="E287" s="178" t="s">
        <v>332</v>
      </c>
      <c r="F287" s="177"/>
    </row>
    <row r="288" spans="1:6" ht="12.75">
      <c r="A288" s="92">
        <f>Invoerblad!B224</f>
        <v>0</v>
      </c>
      <c r="B288" s="178" t="s">
        <v>333</v>
      </c>
      <c r="C288" s="176"/>
      <c r="D288" s="177"/>
      <c r="E288" s="93">
        <f>$C$271/3</f>
        <v>0</v>
      </c>
      <c r="F288" s="94" t="s">
        <v>49</v>
      </c>
    </row>
    <row r="289" spans="1:6" ht="12.75">
      <c r="A289" s="92">
        <f>Invoerblad!B225</f>
        <v>0</v>
      </c>
      <c r="B289" s="178" t="s">
        <v>334</v>
      </c>
      <c r="C289" s="176"/>
      <c r="D289" s="177"/>
      <c r="E289" s="93">
        <f>$C$271/3</f>
        <v>0</v>
      </c>
      <c r="F289" s="13" t="s">
        <v>49</v>
      </c>
    </row>
    <row r="290" spans="1:6" ht="12.75">
      <c r="A290" s="95">
        <f>Invoerblad!B226</f>
        <v>0</v>
      </c>
      <c r="B290" s="178" t="s">
        <v>335</v>
      </c>
      <c r="C290" s="176"/>
      <c r="D290" s="177"/>
      <c r="E290" s="93">
        <f>$C$271/3</f>
        <v>0</v>
      </c>
      <c r="F290" s="68" t="s">
        <v>49</v>
      </c>
    </row>
    <row r="291" spans="1:6" ht="12.75">
      <c r="A291" s="96" t="s">
        <v>137</v>
      </c>
      <c r="B291" s="178" t="s">
        <v>336</v>
      </c>
      <c r="C291" s="176"/>
      <c r="D291" s="177"/>
      <c r="E291" s="178" t="s">
        <v>337</v>
      </c>
      <c r="F291" s="177"/>
    </row>
    <row r="292" spans="1:6" ht="12.75">
      <c r="A292" s="95">
        <f>Invoerblad!B228</f>
        <v>0</v>
      </c>
      <c r="B292" s="178" t="s">
        <v>338</v>
      </c>
      <c r="C292" s="176"/>
      <c r="D292" s="177"/>
      <c r="E292" s="82">
        <f>$D$280/3</f>
        <v>0</v>
      </c>
      <c r="F292" s="13" t="s">
        <v>50</v>
      </c>
    </row>
    <row r="293" spans="1:6" ht="12.75">
      <c r="A293" s="95">
        <f>Invoerblad!B229</f>
        <v>0</v>
      </c>
      <c r="B293" s="178" t="s">
        <v>339</v>
      </c>
      <c r="C293" s="176"/>
      <c r="D293" s="177"/>
      <c r="E293" s="82">
        <f>$D$280/3</f>
        <v>0</v>
      </c>
      <c r="F293" s="68" t="s">
        <v>50</v>
      </c>
    </row>
    <row r="294" spans="1:6" ht="12.75">
      <c r="A294" s="95">
        <f>Invoerblad!B230</f>
        <v>0</v>
      </c>
      <c r="B294" s="178" t="s">
        <v>340</v>
      </c>
      <c r="C294" s="176"/>
      <c r="D294" s="177"/>
      <c r="E294" s="82">
        <f>$D$280/3</f>
        <v>0</v>
      </c>
      <c r="F294" s="68" t="s">
        <v>50</v>
      </c>
    </row>
    <row r="297" ht="12.75">
      <c r="A297" s="38" t="s">
        <v>341</v>
      </c>
    </row>
    <row r="300" spans="2:9" ht="12.75">
      <c r="B300" s="97" t="s">
        <v>137</v>
      </c>
      <c r="C300" s="98" t="s">
        <v>138</v>
      </c>
      <c r="D300" s="99" t="s">
        <v>95</v>
      </c>
      <c r="E300" s="98" t="s">
        <v>139</v>
      </c>
      <c r="F300" s="178" t="s">
        <v>140</v>
      </c>
      <c r="G300" s="177"/>
      <c r="H300" s="178" t="s">
        <v>342</v>
      </c>
      <c r="I300" s="177"/>
    </row>
    <row r="301" spans="2:9" ht="12.75">
      <c r="B301" s="95">
        <f>Invoerblad!B237</f>
        <v>0</v>
      </c>
      <c r="C301" s="91">
        <f>Invoerblad!C237</f>
        <v>0</v>
      </c>
      <c r="D301" s="100">
        <f>Invoerblad!D237</f>
        <v>0</v>
      </c>
      <c r="E301" s="91">
        <f>Invoerblad!E237</f>
        <v>0</v>
      </c>
      <c r="F301" s="8">
        <f>Invoerblad!F237</f>
        <v>0</v>
      </c>
      <c r="G301" s="20" t="s">
        <v>50</v>
      </c>
      <c r="H301" s="84">
        <f>Invoerblad!H237</f>
        <v>0</v>
      </c>
      <c r="I301" s="17" t="s">
        <v>37</v>
      </c>
    </row>
    <row r="302" spans="2:9" ht="12.75">
      <c r="B302" s="95">
        <f>Invoerblad!B238</f>
        <v>0</v>
      </c>
      <c r="C302" s="88">
        <f>Invoerblad!C238</f>
        <v>0</v>
      </c>
      <c r="D302" s="12">
        <f>Invoerblad!D238</f>
        <v>0</v>
      </c>
      <c r="E302" s="88">
        <f>Invoerblad!E238</f>
        <v>0</v>
      </c>
      <c r="F302" s="79">
        <f>Invoerblad!F238</f>
        <v>0</v>
      </c>
      <c r="G302" s="81" t="s">
        <v>50</v>
      </c>
      <c r="H302" s="79">
        <f>Invoerblad!H238</f>
        <v>0</v>
      </c>
      <c r="I302" s="81" t="s">
        <v>37</v>
      </c>
    </row>
    <row r="303" spans="2:9" ht="12.75">
      <c r="B303" s="95">
        <f>Invoerblad!B239</f>
        <v>0</v>
      </c>
      <c r="C303" s="88">
        <f>Invoerblad!C239</f>
        <v>0</v>
      </c>
      <c r="D303" s="12">
        <f>Invoerblad!D239</f>
        <v>0</v>
      </c>
      <c r="E303" s="88">
        <f>Invoerblad!E239</f>
        <v>0</v>
      </c>
      <c r="F303" s="83">
        <f>Invoerblad!F239</f>
        <v>0</v>
      </c>
      <c r="G303" s="20" t="s">
        <v>50</v>
      </c>
      <c r="H303" s="79">
        <f>Invoerblad!H239</f>
        <v>0</v>
      </c>
      <c r="I303" s="81" t="s">
        <v>37</v>
      </c>
    </row>
    <row r="304" spans="2:9" ht="12.75">
      <c r="B304" s="95">
        <f>Invoerblad!B240</f>
        <v>0</v>
      </c>
      <c r="C304" s="101">
        <f>Invoerblad!C240</f>
        <v>0</v>
      </c>
      <c r="D304" s="89">
        <f>Invoerblad!D240</f>
        <v>0</v>
      </c>
      <c r="E304" s="101">
        <f>Invoerblad!E240</f>
        <v>0</v>
      </c>
      <c r="F304" s="79">
        <f>Invoerblad!F240</f>
        <v>0</v>
      </c>
      <c r="G304" s="81" t="s">
        <v>50</v>
      </c>
      <c r="H304" s="85">
        <f>Invoerblad!H240</f>
        <v>0</v>
      </c>
      <c r="I304" s="25" t="s">
        <v>37</v>
      </c>
    </row>
    <row r="305" spans="2:9" ht="12.75">
      <c r="B305" s="95">
        <f>Invoerblad!B241</f>
        <v>0</v>
      </c>
      <c r="C305" s="101">
        <f>Invoerblad!C241</f>
        <v>0</v>
      </c>
      <c r="D305" s="89">
        <f>Invoerblad!D241</f>
        <v>0</v>
      </c>
      <c r="E305" s="101">
        <f>Invoerblad!E241</f>
        <v>0</v>
      </c>
      <c r="F305" s="79">
        <f>Invoerblad!F241</f>
        <v>0</v>
      </c>
      <c r="G305" s="81" t="s">
        <v>50</v>
      </c>
      <c r="H305" s="85">
        <f>Invoerblad!H241</f>
        <v>0</v>
      </c>
      <c r="I305" s="25" t="s">
        <v>37</v>
      </c>
    </row>
    <row r="308" ht="12.75">
      <c r="A308" s="63" t="s">
        <v>142</v>
      </c>
    </row>
    <row r="310" spans="1:5" ht="12.75">
      <c r="A310" s="1" t="s">
        <v>143</v>
      </c>
      <c r="D310" t="s">
        <v>10</v>
      </c>
      <c r="E310" s="69">
        <f>Invoerblad!E246</f>
        <v>0</v>
      </c>
    </row>
    <row r="311" spans="1:5" ht="12.75">
      <c r="A311" s="1" t="s">
        <v>144</v>
      </c>
      <c r="D311" t="s">
        <v>10</v>
      </c>
      <c r="E311" s="69">
        <f>Invoerblad!E247</f>
        <v>0</v>
      </c>
    </row>
    <row r="312" spans="1:5" ht="12.75">
      <c r="A312" t="s">
        <v>145</v>
      </c>
      <c r="D312" s="8">
        <f>Invoerblad!D248</f>
        <v>0</v>
      </c>
      <c r="E312" t="s">
        <v>146</v>
      </c>
    </row>
    <row r="313" spans="1:5" ht="12.75">
      <c r="A313" t="s">
        <v>147</v>
      </c>
      <c r="D313" s="8">
        <f>Invoerblad!D249</f>
        <v>0</v>
      </c>
      <c r="E313" t="s">
        <v>146</v>
      </c>
    </row>
    <row r="314" spans="1:5" ht="12.75">
      <c r="A314" s="1" t="s">
        <v>148</v>
      </c>
      <c r="D314" t="s">
        <v>10</v>
      </c>
      <c r="E314" s="69">
        <f>Invoerblad!E250</f>
        <v>0</v>
      </c>
    </row>
    <row r="315" spans="1:5" ht="12.75">
      <c r="A315" t="s">
        <v>149</v>
      </c>
      <c r="D315" s="8">
        <f>Invoerblad!D251</f>
        <v>0</v>
      </c>
      <c r="E315" t="s">
        <v>146</v>
      </c>
    </row>
    <row r="316" spans="1:5" ht="12.75">
      <c r="A316" t="s">
        <v>147</v>
      </c>
      <c r="D316" s="8">
        <f>Invoerblad!D252</f>
        <v>0</v>
      </c>
      <c r="E316" t="s">
        <v>146</v>
      </c>
    </row>
    <row r="317" spans="1:5" ht="12.75">
      <c r="A317" s="1" t="s">
        <v>150</v>
      </c>
      <c r="B317" s="1"/>
      <c r="D317" t="s">
        <v>10</v>
      </c>
      <c r="E317" s="69">
        <f>Invoerblad!E253</f>
        <v>0</v>
      </c>
    </row>
    <row r="318" spans="1:5" ht="12.75">
      <c r="A318" t="s">
        <v>151</v>
      </c>
      <c r="D318" s="8">
        <f>Invoerblad!D254</f>
        <v>0</v>
      </c>
      <c r="E318" t="s">
        <v>37</v>
      </c>
    </row>
    <row r="319" spans="1:5" ht="12.75">
      <c r="A319" s="1" t="s">
        <v>152</v>
      </c>
      <c r="B319" s="1"/>
      <c r="D319" t="s">
        <v>10</v>
      </c>
      <c r="E319" s="69">
        <f>Invoerblad!E255</f>
        <v>0</v>
      </c>
    </row>
    <row r="320" spans="1:5" ht="12.75">
      <c r="A320" t="s">
        <v>153</v>
      </c>
      <c r="D320" s="8">
        <f>Invoerblad!D256</f>
        <v>0</v>
      </c>
      <c r="E320" t="s">
        <v>154</v>
      </c>
    </row>
    <row r="321" spans="1:5" ht="12.75">
      <c r="A321" s="1" t="s">
        <v>155</v>
      </c>
      <c r="B321" s="1"/>
      <c r="D321" t="s">
        <v>10</v>
      </c>
      <c r="E321" s="69">
        <f>Invoerblad!E257</f>
        <v>0</v>
      </c>
    </row>
    <row r="322" spans="1:5" ht="12.75">
      <c r="A322" t="s">
        <v>73</v>
      </c>
      <c r="D322" s="8">
        <f>Invoerblad!D258</f>
        <v>0</v>
      </c>
      <c r="E322" s="69" t="s">
        <v>156</v>
      </c>
    </row>
    <row r="323" spans="1:5" ht="12.75">
      <c r="A323" s="1" t="s">
        <v>157</v>
      </c>
      <c r="B323" s="1"/>
      <c r="D323" t="s">
        <v>10</v>
      </c>
      <c r="E323" s="69">
        <f>Invoerblad!E259</f>
        <v>0</v>
      </c>
    </row>
    <row r="324" spans="1:5" ht="12.75">
      <c r="A324" t="s">
        <v>158</v>
      </c>
      <c r="D324" s="8">
        <f>Invoerblad!D260</f>
        <v>0</v>
      </c>
      <c r="E324" t="s">
        <v>37</v>
      </c>
    </row>
    <row r="328" ht="12.75">
      <c r="A328" s="63" t="s">
        <v>159</v>
      </c>
    </row>
    <row r="330" spans="1:7" ht="12.75">
      <c r="A330" t="s">
        <v>10</v>
      </c>
      <c r="B330" s="69">
        <f>Invoerblad!B265</f>
        <v>0</v>
      </c>
      <c r="D330" s="8">
        <f>Invoerblad!D265</f>
        <v>0</v>
      </c>
      <c r="E330" t="s">
        <v>160</v>
      </c>
      <c r="F330" t="s">
        <v>161</v>
      </c>
      <c r="G330" s="8">
        <f>Invoerblad!G265</f>
        <v>0</v>
      </c>
    </row>
    <row r="331" spans="1:7" ht="12.75">
      <c r="A331" t="s">
        <v>10</v>
      </c>
      <c r="B331" s="69">
        <f>Invoerblad!B266</f>
        <v>0</v>
      </c>
      <c r="D331" s="8">
        <f>Invoerblad!D266</f>
        <v>0</v>
      </c>
      <c r="E331" t="s">
        <v>160</v>
      </c>
      <c r="F331" t="s">
        <v>161</v>
      </c>
      <c r="G331" s="8">
        <f>Invoerblad!G266</f>
        <v>0</v>
      </c>
    </row>
    <row r="332" spans="1:7" ht="12.75">
      <c r="A332" t="s">
        <v>10</v>
      </c>
      <c r="B332" s="69">
        <f>Invoerblad!B267</f>
        <v>0</v>
      </c>
      <c r="D332" s="8">
        <f>Invoerblad!D267</f>
        <v>0</v>
      </c>
      <c r="E332" t="s">
        <v>160</v>
      </c>
      <c r="F332" t="s">
        <v>161</v>
      </c>
      <c r="G332" s="8">
        <f>Invoerblad!G267</f>
        <v>0</v>
      </c>
    </row>
    <row r="335" ht="12.75">
      <c r="A335" s="63" t="s">
        <v>162</v>
      </c>
    </row>
    <row r="337" spans="1:5" ht="12.75">
      <c r="A337" t="s">
        <v>10</v>
      </c>
      <c r="B337" s="69">
        <f>Invoerblad!B272</f>
        <v>0</v>
      </c>
      <c r="D337" s="8">
        <f>Invoerblad!D272</f>
        <v>0</v>
      </c>
      <c r="E337" t="s">
        <v>163</v>
      </c>
    </row>
    <row r="338" spans="1:5" ht="12.75">
      <c r="A338" t="s">
        <v>10</v>
      </c>
      <c r="B338" s="69">
        <f>Invoerblad!B273</f>
        <v>0</v>
      </c>
      <c r="D338" s="8">
        <f>Invoerblad!D273</f>
        <v>0</v>
      </c>
      <c r="E338" t="s">
        <v>163</v>
      </c>
    </row>
    <row r="339" spans="1:5" ht="12.75">
      <c r="A339" t="s">
        <v>10</v>
      </c>
      <c r="B339" s="69">
        <f>Invoerblad!B274</f>
        <v>0</v>
      </c>
      <c r="D339" s="8">
        <f>Invoerblad!D274</f>
        <v>0</v>
      </c>
      <c r="E339" t="s">
        <v>163</v>
      </c>
    </row>
    <row r="340" spans="1:5" ht="12.75">
      <c r="A340" t="s">
        <v>10</v>
      </c>
      <c r="B340" s="69">
        <f>Invoerblad!B275</f>
        <v>0</v>
      </c>
      <c r="D340" s="8">
        <f>Invoerblad!D275</f>
        <v>0</v>
      </c>
      <c r="E340" t="s">
        <v>163</v>
      </c>
    </row>
    <row r="341" spans="1:5" ht="12.75">
      <c r="A341" t="s">
        <v>10</v>
      </c>
      <c r="B341" s="69">
        <f>Invoerblad!B276</f>
        <v>0</v>
      </c>
      <c r="D341" s="8">
        <f>Invoerblad!D276</f>
        <v>0</v>
      </c>
      <c r="E341" t="s">
        <v>163</v>
      </c>
    </row>
    <row r="343" spans="1:9" ht="12.75">
      <c r="A343" s="1" t="s">
        <v>169</v>
      </c>
      <c r="I343" s="8" t="s">
        <v>458</v>
      </c>
    </row>
    <row r="345" spans="1:7" ht="12.75">
      <c r="A345" t="s">
        <v>10</v>
      </c>
      <c r="B345" s="69">
        <f>Invoerblad!B287</f>
        <v>0</v>
      </c>
      <c r="D345" t="s">
        <v>170</v>
      </c>
      <c r="F345" s="8">
        <f>Invoerblad!F287</f>
        <v>0</v>
      </c>
      <c r="G345" t="s">
        <v>171</v>
      </c>
    </row>
    <row r="346" spans="1:7" ht="12.75">
      <c r="A346" t="s">
        <v>10</v>
      </c>
      <c r="B346" s="69">
        <f>Invoerblad!B288</f>
        <v>0</v>
      </c>
      <c r="D346" t="s">
        <v>170</v>
      </c>
      <c r="F346" s="8">
        <f>Invoerblad!F288</f>
        <v>0</v>
      </c>
      <c r="G346" t="s">
        <v>171</v>
      </c>
    </row>
    <row r="347" spans="1:7" ht="12.75">
      <c r="A347" t="s">
        <v>10</v>
      </c>
      <c r="B347" s="69">
        <f>Invoerblad!B289</f>
        <v>0</v>
      </c>
      <c r="D347" t="s">
        <v>170</v>
      </c>
      <c r="F347" s="8">
        <f>Invoerblad!F289</f>
        <v>0</v>
      </c>
      <c r="G347" t="s">
        <v>171</v>
      </c>
    </row>
    <row r="348" spans="1:7" ht="12.75">
      <c r="A348" t="s">
        <v>10</v>
      </c>
      <c r="B348" s="69">
        <f>Invoerblad!B290</f>
        <v>0</v>
      </c>
      <c r="D348" t="s">
        <v>170</v>
      </c>
      <c r="F348" s="8">
        <f>Invoerblad!F290</f>
        <v>0</v>
      </c>
      <c r="G348" t="s">
        <v>171</v>
      </c>
    </row>
    <row r="349" spans="1:7" ht="12.75">
      <c r="A349" t="s">
        <v>10</v>
      </c>
      <c r="B349" s="69">
        <f>Invoerblad!B291</f>
        <v>0</v>
      </c>
      <c r="D349" t="s">
        <v>170</v>
      </c>
      <c r="F349" s="8">
        <f>Invoerblad!F291</f>
        <v>0</v>
      </c>
      <c r="G349" t="s">
        <v>171</v>
      </c>
    </row>
    <row r="352" ht="12.75">
      <c r="A352" s="63" t="s">
        <v>164</v>
      </c>
    </row>
    <row r="354" spans="1:9" ht="12.75">
      <c r="A354" t="s">
        <v>165</v>
      </c>
      <c r="B354" s="8">
        <f>Invoerblad!B280</f>
        <v>0</v>
      </c>
      <c r="C354" t="s">
        <v>166</v>
      </c>
      <c r="F354" t="s">
        <v>92</v>
      </c>
      <c r="H354" s="8">
        <f>Invoerblad!H280</f>
        <v>0</v>
      </c>
      <c r="I354" t="s">
        <v>33</v>
      </c>
    </row>
    <row r="356" spans="1:9" ht="12.75">
      <c r="A356" t="s">
        <v>89</v>
      </c>
      <c r="C356" s="69">
        <f>Invoerblad!C282</f>
        <v>0</v>
      </c>
      <c r="D356" t="s">
        <v>343</v>
      </c>
      <c r="E356" s="69"/>
      <c r="F356" s="8">
        <f>Invoerblad!F282</f>
        <v>0</v>
      </c>
      <c r="G356" t="s">
        <v>168</v>
      </c>
      <c r="H356" s="8">
        <f>Invoerblad!H282</f>
        <v>0</v>
      </c>
      <c r="I356" t="s">
        <v>127</v>
      </c>
    </row>
    <row r="359" spans="1:4" ht="12.75">
      <c r="A359" s="63" t="s">
        <v>172</v>
      </c>
      <c r="C359" t="s">
        <v>10</v>
      </c>
      <c r="D359" s="69">
        <f>Invoerblad!E294</f>
        <v>0</v>
      </c>
    </row>
    <row r="361" ht="12.75">
      <c r="A361" s="1" t="s">
        <v>173</v>
      </c>
    </row>
    <row r="363" spans="2:3" ht="12.75">
      <c r="B363" s="8">
        <f>Invoerblad!B298</f>
        <v>0</v>
      </c>
      <c r="C363" t="s">
        <v>15</v>
      </c>
    </row>
    <row r="364" spans="2:3" ht="12.75">
      <c r="B364" s="8">
        <f>Invoerblad!B299</f>
        <v>0</v>
      </c>
      <c r="C364" t="s">
        <v>174</v>
      </c>
    </row>
    <row r="365" spans="2:6" ht="12.75">
      <c r="B365" s="8">
        <f>Invoerblad!B300</f>
        <v>0</v>
      </c>
      <c r="C365" t="s">
        <v>175</v>
      </c>
      <c r="D365" t="s">
        <v>176</v>
      </c>
      <c r="E365" s="188">
        <f>Invoerblad!E300</f>
        <v>0</v>
      </c>
      <c r="F365" s="188"/>
    </row>
    <row r="366" spans="2:3" ht="12.75">
      <c r="B366" s="8">
        <f>Invoerblad!B301</f>
        <v>0</v>
      </c>
      <c r="C366" t="s">
        <v>171</v>
      </c>
    </row>
    <row r="371" spans="1:6" ht="12.75">
      <c r="A371" s="1" t="s">
        <v>344</v>
      </c>
      <c r="F371" s="69"/>
    </row>
    <row r="373" spans="1:8" ht="12.75">
      <c r="A373" t="s">
        <v>345</v>
      </c>
      <c r="C373" s="8">
        <f>IF(D305=0,0,IF(D305&lt;995,2.5,IF(D305&lt;1005,2.5,IF(D305&gt;1005,2.5))))</f>
        <v>0</v>
      </c>
      <c r="D373" t="s">
        <v>346</v>
      </c>
      <c r="E373" s="8">
        <f>F305</f>
        <v>0</v>
      </c>
      <c r="F373" s="8" t="s">
        <v>311</v>
      </c>
      <c r="G373" s="8">
        <f>(C373*E373)/10</f>
        <v>0</v>
      </c>
      <c r="H373" t="s">
        <v>37</v>
      </c>
    </row>
    <row r="374" spans="1:8" ht="12.75">
      <c r="A374" t="s">
        <v>347</v>
      </c>
      <c r="C374" s="8">
        <f>IF(D305=0,0,IF(D305&lt;995,0.3,IF(D305&lt;1005,0.4,IF(D305&gt;1005,0.5))))</f>
        <v>0</v>
      </c>
      <c r="D374" t="s">
        <v>346</v>
      </c>
      <c r="E374" s="8">
        <f>F305</f>
        <v>0</v>
      </c>
      <c r="F374" s="8" t="s">
        <v>311</v>
      </c>
      <c r="G374" s="8">
        <f>(C374*E374)/10</f>
        <v>0</v>
      </c>
      <c r="H374" t="s">
        <v>37</v>
      </c>
    </row>
    <row r="375" spans="1:8" ht="12.75">
      <c r="A375" t="s">
        <v>348</v>
      </c>
      <c r="C375" s="8">
        <f>IF(D305=0,0,IF(D305&lt;995,0.5,IF(D305&lt;1005,1,IF(D305&gt;1005,1.5))))</f>
        <v>0</v>
      </c>
      <c r="D375" t="s">
        <v>346</v>
      </c>
      <c r="E375" s="8">
        <f>F305</f>
        <v>0</v>
      </c>
      <c r="F375" s="8" t="s">
        <v>311</v>
      </c>
      <c r="G375" s="8">
        <f>(C375*E375)/10</f>
        <v>0</v>
      </c>
      <c r="H375" t="s">
        <v>37</v>
      </c>
    </row>
    <row r="378" ht="12.75">
      <c r="A378" s="72" t="s">
        <v>349</v>
      </c>
    </row>
    <row r="379" ht="12.75">
      <c r="A379" s="72" t="s">
        <v>350</v>
      </c>
    </row>
    <row r="381" spans="1:6" ht="12.75">
      <c r="A381" s="1" t="s">
        <v>351</v>
      </c>
      <c r="E381" t="s">
        <v>10</v>
      </c>
      <c r="F381" s="69">
        <f>Invoerblad!B305</f>
        <v>0</v>
      </c>
    </row>
    <row r="383" spans="1:4" ht="12.75">
      <c r="A383" t="s">
        <v>345</v>
      </c>
      <c r="C383" s="8">
        <f>G373</f>
        <v>0</v>
      </c>
      <c r="D383" t="s">
        <v>37</v>
      </c>
    </row>
    <row r="384" spans="1:4" ht="12.75">
      <c r="A384" t="s">
        <v>347</v>
      </c>
      <c r="C384" s="8">
        <f>G374</f>
        <v>0</v>
      </c>
      <c r="D384" t="s">
        <v>37</v>
      </c>
    </row>
    <row r="385" spans="1:4" ht="12.75">
      <c r="A385" t="s">
        <v>348</v>
      </c>
      <c r="C385" s="8">
        <f>G375</f>
        <v>0</v>
      </c>
      <c r="D385" t="s">
        <v>37</v>
      </c>
    </row>
    <row r="387" spans="1:4" ht="12.75">
      <c r="A387" s="1" t="s">
        <v>178</v>
      </c>
      <c r="C387" s="8">
        <f>Invoerblad!C307</f>
        <v>0</v>
      </c>
      <c r="D387" t="s">
        <v>179</v>
      </c>
    </row>
    <row r="388" spans="3:4" ht="12.75">
      <c r="C388" s="8">
        <f>Invoerblad!C308</f>
        <v>0</v>
      </c>
      <c r="D388" t="s">
        <v>180</v>
      </c>
    </row>
    <row r="389" spans="3:4" ht="12.75">
      <c r="C389" s="8">
        <f>Invoerblad!C309</f>
        <v>0</v>
      </c>
      <c r="D389" t="s">
        <v>181</v>
      </c>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51">
    <mergeCell ref="E365:F365"/>
    <mergeCell ref="G188:H188"/>
    <mergeCell ref="G189:H189"/>
    <mergeCell ref="G190:H190"/>
    <mergeCell ref="F248:F249"/>
    <mergeCell ref="H250:I251"/>
    <mergeCell ref="E188:F188"/>
    <mergeCell ref="E189:F189"/>
    <mergeCell ref="E190:F190"/>
    <mergeCell ref="G184:H184"/>
    <mergeCell ref="G185:H185"/>
    <mergeCell ref="G186:H186"/>
    <mergeCell ref="G187:H187"/>
    <mergeCell ref="A1:H1"/>
    <mergeCell ref="A61:C61"/>
    <mergeCell ref="D61:E61"/>
    <mergeCell ref="F61:G61"/>
    <mergeCell ref="H61:I61"/>
    <mergeCell ref="A111:I112"/>
    <mergeCell ref="B126:B127"/>
    <mergeCell ref="C126:C127"/>
    <mergeCell ref="D126:D127"/>
    <mergeCell ref="E126:E127"/>
    <mergeCell ref="F126:F127"/>
    <mergeCell ref="B130:H131"/>
    <mergeCell ref="H135:I138"/>
    <mergeCell ref="A183:C183"/>
    <mergeCell ref="D183:F183"/>
    <mergeCell ref="G183:I183"/>
    <mergeCell ref="B159:G159"/>
    <mergeCell ref="G180:H180"/>
    <mergeCell ref="A250:A251"/>
    <mergeCell ref="B250:B251"/>
    <mergeCell ref="F250:F251"/>
    <mergeCell ref="G250:G251"/>
    <mergeCell ref="B287:D287"/>
    <mergeCell ref="E287:F287"/>
    <mergeCell ref="B288:D288"/>
    <mergeCell ref="B289:D289"/>
    <mergeCell ref="B290:D290"/>
    <mergeCell ref="B291:D291"/>
    <mergeCell ref="F300:G300"/>
    <mergeCell ref="H300:I300"/>
    <mergeCell ref="E291:F291"/>
    <mergeCell ref="B292:D292"/>
    <mergeCell ref="B293:D293"/>
    <mergeCell ref="B294:D294"/>
    <mergeCell ref="E184:F184"/>
    <mergeCell ref="E185:F185"/>
    <mergeCell ref="E186:F186"/>
    <mergeCell ref="E187:F187"/>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I668"/>
  <sheetViews>
    <sheetView workbookViewId="0" topLeftCell="A1">
      <selection activeCell="E127" sqref="E127:F127"/>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382</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8" t="s">
        <v>246</v>
      </c>
      <c r="B61" s="176"/>
      <c r="C61" s="177"/>
      <c r="D61" s="178" t="s">
        <v>247</v>
      </c>
      <c r="E61" s="177"/>
      <c r="F61" s="178" t="s">
        <v>248</v>
      </c>
      <c r="G61" s="177"/>
      <c r="H61" s="178" t="s">
        <v>249</v>
      </c>
      <c r="I61" s="177"/>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7" ht="15">
      <c r="A97" s="70" t="s">
        <v>62</v>
      </c>
    </row>
    <row r="99" spans="1:8" ht="12.75">
      <c r="A99" s="1" t="s">
        <v>63</v>
      </c>
      <c r="G99" s="8">
        <f>Invoerblad!G80</f>
        <v>0</v>
      </c>
      <c r="H99" t="s">
        <v>24</v>
      </c>
    </row>
    <row r="100" spans="1:5" ht="12.75">
      <c r="A100" t="s">
        <v>25</v>
      </c>
      <c r="D100" s="8">
        <f>Invoerblad!D81</f>
        <v>0</v>
      </c>
      <c r="E100" t="s">
        <v>26</v>
      </c>
    </row>
    <row r="102" spans="1:4" ht="12.75">
      <c r="A102" s="1" t="s">
        <v>64</v>
      </c>
      <c r="B102" s="1"/>
      <c r="C102" s="8">
        <f>Invoerblad!C83</f>
        <v>0</v>
      </c>
      <c r="D102" t="s">
        <v>28</v>
      </c>
    </row>
    <row r="104" spans="1:4" ht="12.75">
      <c r="A104" s="1" t="s">
        <v>65</v>
      </c>
      <c r="B104" s="1"/>
      <c r="C104" s="8">
        <f>Invoerblad!C85</f>
        <v>0</v>
      </c>
      <c r="D104" t="s">
        <v>28</v>
      </c>
    </row>
    <row r="106" spans="1:4" ht="12.75">
      <c r="A106" s="1" t="s">
        <v>441</v>
      </c>
      <c r="C106" s="8">
        <f>IF(C102=C104,0,IF(C104&lt;C102,C102-C104))</f>
        <v>0</v>
      </c>
      <c r="D106" t="s">
        <v>28</v>
      </c>
    </row>
    <row r="108" spans="1:5" ht="12.75">
      <c r="A108" s="1" t="s">
        <v>66</v>
      </c>
      <c r="D108" s="8">
        <f>Invoerblad!D87</f>
        <v>0</v>
      </c>
      <c r="E108" t="s">
        <v>67</v>
      </c>
    </row>
    <row r="110" spans="1:7" ht="12.75">
      <c r="A110" s="1" t="s">
        <v>361</v>
      </c>
      <c r="B110" s="1"/>
      <c r="F110" s="119">
        <f>Invoerblad!F89</f>
        <v>0</v>
      </c>
      <c r="G110" t="s">
        <v>50</v>
      </c>
    </row>
    <row r="111" spans="2:4" ht="12.75">
      <c r="B111" s="112" t="s">
        <v>453</v>
      </c>
      <c r="C111" s="112"/>
      <c r="D111" s="112"/>
    </row>
    <row r="114" ht="12.75">
      <c r="I114" s="8" t="s">
        <v>75</v>
      </c>
    </row>
    <row r="115" spans="1:8" ht="12.75">
      <c r="A115" s="1" t="s">
        <v>362</v>
      </c>
      <c r="G115" s="119">
        <f>Invoerblad!G91</f>
        <v>0</v>
      </c>
      <c r="H115" t="s">
        <v>50</v>
      </c>
    </row>
    <row r="116" spans="1:9" ht="12.75" customHeight="1">
      <c r="A116" s="165" t="s">
        <v>454</v>
      </c>
      <c r="B116" s="166"/>
      <c r="C116" s="166"/>
      <c r="D116" s="166"/>
      <c r="E116" s="166"/>
      <c r="F116" s="166"/>
      <c r="G116" s="166"/>
      <c r="H116" s="166"/>
      <c r="I116" s="166"/>
    </row>
    <row r="117" spans="1:9" ht="12.75">
      <c r="A117" s="166"/>
      <c r="B117" s="166"/>
      <c r="C117" s="166"/>
      <c r="D117" s="166"/>
      <c r="E117" s="166"/>
      <c r="F117" s="166"/>
      <c r="G117" s="166"/>
      <c r="H117" s="166"/>
      <c r="I117" s="166"/>
    </row>
    <row r="120" ht="12.75">
      <c r="A120" s="38" t="s">
        <v>377</v>
      </c>
    </row>
    <row r="123" spans="1:9" ht="12.75">
      <c r="A123" s="178" t="s">
        <v>281</v>
      </c>
      <c r="B123" s="176"/>
      <c r="C123" s="177"/>
      <c r="D123" s="178" t="s">
        <v>282</v>
      </c>
      <c r="E123" s="176"/>
      <c r="F123" s="177"/>
      <c r="G123" s="178" t="s">
        <v>283</v>
      </c>
      <c r="H123" s="176"/>
      <c r="I123" s="177"/>
    </row>
    <row r="124" spans="1:9" ht="12.75">
      <c r="A124" s="11" t="s">
        <v>284</v>
      </c>
      <c r="B124" s="80"/>
      <c r="C124" s="81"/>
      <c r="D124" s="11" t="s">
        <v>285</v>
      </c>
      <c r="E124" s="176" t="s">
        <v>286</v>
      </c>
      <c r="F124" s="177"/>
      <c r="G124" s="178">
        <f>(D69*1.2)/10</f>
        <v>0</v>
      </c>
      <c r="H124" s="176"/>
      <c r="I124" s="81" t="s">
        <v>37</v>
      </c>
    </row>
    <row r="125" spans="1:9" ht="12.75">
      <c r="A125" s="19" t="s">
        <v>287</v>
      </c>
      <c r="B125" s="20"/>
      <c r="C125" s="21"/>
      <c r="D125" s="11" t="s">
        <v>285</v>
      </c>
      <c r="E125" s="176" t="s">
        <v>288</v>
      </c>
      <c r="F125" s="177"/>
      <c r="G125" s="178">
        <f>(F110*1.2)/10</f>
        <v>0</v>
      </c>
      <c r="H125" s="176"/>
      <c r="I125" s="81" t="s">
        <v>37</v>
      </c>
    </row>
    <row r="126" spans="1:9" ht="12.75">
      <c r="A126" s="15" t="s">
        <v>289</v>
      </c>
      <c r="B126" s="16"/>
      <c r="C126" s="17"/>
      <c r="D126" s="11" t="s">
        <v>285</v>
      </c>
      <c r="E126" s="176" t="s">
        <v>290</v>
      </c>
      <c r="F126" s="177"/>
      <c r="G126" s="178">
        <f>(G115*3)/10</f>
        <v>0</v>
      </c>
      <c r="H126" s="176"/>
      <c r="I126" s="81" t="s">
        <v>37</v>
      </c>
    </row>
    <row r="127" spans="1:9" ht="12.75">
      <c r="A127" s="11" t="s">
        <v>291</v>
      </c>
      <c r="B127" s="80"/>
      <c r="C127" s="81"/>
      <c r="D127" s="11" t="s">
        <v>285</v>
      </c>
      <c r="E127" s="176" t="s">
        <v>292</v>
      </c>
      <c r="F127" s="177"/>
      <c r="G127" s="178">
        <f>(F110*10)/10</f>
        <v>0</v>
      </c>
      <c r="H127" s="176"/>
      <c r="I127" s="81" t="s">
        <v>37</v>
      </c>
    </row>
    <row r="128" spans="1:9" ht="12.75">
      <c r="A128" s="23" t="s">
        <v>293</v>
      </c>
      <c r="B128" s="24"/>
      <c r="C128" s="25"/>
      <c r="D128" s="11" t="s">
        <v>285</v>
      </c>
      <c r="E128" s="176" t="s">
        <v>294</v>
      </c>
      <c r="F128" s="177"/>
      <c r="G128" s="178">
        <f>(F110*8)/10</f>
        <v>0</v>
      </c>
      <c r="H128" s="176"/>
      <c r="I128" s="81" t="s">
        <v>37</v>
      </c>
    </row>
    <row r="129" spans="1:9" ht="12.75">
      <c r="A129" s="19" t="s">
        <v>295</v>
      </c>
      <c r="B129" s="20"/>
      <c r="C129" s="21"/>
      <c r="D129" s="11" t="s">
        <v>285</v>
      </c>
      <c r="E129" s="176" t="s">
        <v>296</v>
      </c>
      <c r="F129" s="177"/>
      <c r="G129" s="178">
        <f>(G115*5)/10</f>
        <v>0</v>
      </c>
      <c r="H129" s="176"/>
      <c r="I129" s="81" t="s">
        <v>37</v>
      </c>
    </row>
    <row r="130" spans="1:9" ht="12.75">
      <c r="A130" s="11" t="s">
        <v>297</v>
      </c>
      <c r="B130" s="80"/>
      <c r="C130" s="81"/>
      <c r="D130" s="11" t="s">
        <v>285</v>
      </c>
      <c r="E130" s="176" t="s">
        <v>296</v>
      </c>
      <c r="F130" s="177"/>
      <c r="G130" s="178">
        <f>(G115*5)/10</f>
        <v>0</v>
      </c>
      <c r="H130" s="176"/>
      <c r="I130" s="81" t="s">
        <v>37</v>
      </c>
    </row>
    <row r="134" ht="12.75">
      <c r="A134" s="38" t="s">
        <v>114</v>
      </c>
    </row>
    <row r="136" spans="1:8" ht="12.75">
      <c r="A136" t="s">
        <v>115</v>
      </c>
      <c r="C136" s="8">
        <f>Invoerblad!C188</f>
        <v>0</v>
      </c>
      <c r="D136" t="s">
        <v>37</v>
      </c>
      <c r="E136" t="s">
        <v>119</v>
      </c>
      <c r="G136" s="8">
        <f>Invoerblad!H188</f>
        <v>0</v>
      </c>
      <c r="H136" t="s">
        <v>37</v>
      </c>
    </row>
    <row r="137" spans="1:8" ht="12.75">
      <c r="A137" t="s">
        <v>116</v>
      </c>
      <c r="C137" s="8">
        <f>Invoerblad!C189</f>
        <v>0</v>
      </c>
      <c r="D137" t="s">
        <v>37</v>
      </c>
      <c r="E137" t="s">
        <v>120</v>
      </c>
      <c r="G137" s="8">
        <f>Invoerblad!H189</f>
        <v>0</v>
      </c>
      <c r="H137" t="s">
        <v>37</v>
      </c>
    </row>
    <row r="138" spans="1:8" ht="12.75">
      <c r="A138" t="s">
        <v>117</v>
      </c>
      <c r="C138" s="8">
        <f>Invoerblad!C190</f>
        <v>0</v>
      </c>
      <c r="D138" t="s">
        <v>37</v>
      </c>
      <c r="E138" t="s">
        <v>121</v>
      </c>
      <c r="G138" s="8">
        <f>Invoerblad!H190</f>
        <v>0</v>
      </c>
      <c r="H138" t="s">
        <v>37</v>
      </c>
    </row>
    <row r="139" spans="1:4" ht="12.75">
      <c r="A139" t="s">
        <v>118</v>
      </c>
      <c r="C139" s="8">
        <f>Invoerblad!C191</f>
        <v>0</v>
      </c>
      <c r="D139" t="s">
        <v>37</v>
      </c>
    </row>
    <row r="142" ht="12.75">
      <c r="A142" s="63" t="s">
        <v>122</v>
      </c>
    </row>
    <row r="144" spans="1:8" ht="12.75">
      <c r="A144" s="1" t="s">
        <v>10</v>
      </c>
      <c r="B144" s="69">
        <f>Invoerblad!B196</f>
        <v>0</v>
      </c>
      <c r="C144" s="1" t="s">
        <v>90</v>
      </c>
      <c r="D144" s="71">
        <f>Invoerblad!D196</f>
        <v>0</v>
      </c>
      <c r="E144" s="1" t="s">
        <v>123</v>
      </c>
      <c r="H144" s="69">
        <f>Invoerblad!H196</f>
        <v>0</v>
      </c>
    </row>
    <row r="146" spans="1:6" ht="12.75">
      <c r="A146" s="1" t="s">
        <v>124</v>
      </c>
      <c r="E146" s="71">
        <f>Invoerblad!E198</f>
        <v>0</v>
      </c>
      <c r="F146" t="s">
        <v>30</v>
      </c>
    </row>
    <row r="148" spans="1:5" ht="12.75" customHeight="1">
      <c r="A148" s="1" t="s">
        <v>32</v>
      </c>
      <c r="D148" s="73">
        <f>Invoerblad!D200</f>
        <v>0</v>
      </c>
      <c r="E148" t="s">
        <v>33</v>
      </c>
    </row>
    <row r="149" ht="12.75" customHeight="1"/>
    <row r="150" ht="12.75">
      <c r="A150" s="63" t="s">
        <v>125</v>
      </c>
    </row>
    <row r="152" spans="1:9" ht="12.75" customHeight="1">
      <c r="A152" s="1" t="s">
        <v>123</v>
      </c>
      <c r="D152" s="69">
        <f>Invoerblad!D205</f>
        <v>0</v>
      </c>
      <c r="E152" s="1" t="s">
        <v>126</v>
      </c>
      <c r="H152" s="8">
        <f>Invoerblad!H205</f>
        <v>0</v>
      </c>
      <c r="I152" t="s">
        <v>127</v>
      </c>
    </row>
    <row r="154" spans="1:3" ht="12.75" customHeight="1">
      <c r="A154" s="1" t="s">
        <v>128</v>
      </c>
      <c r="C154" s="69">
        <f>Invoerblad!D207</f>
        <v>0</v>
      </c>
    </row>
    <row r="155" ht="12.75" customHeight="1"/>
    <row r="156" ht="12.75" customHeight="1">
      <c r="C156" s="69"/>
    </row>
    <row r="157" spans="1:6" ht="12.75" customHeight="1">
      <c r="A157" t="s">
        <v>129</v>
      </c>
      <c r="E157" s="8">
        <f>Invoerblad!E212</f>
        <v>0</v>
      </c>
      <c r="F157" t="s">
        <v>24</v>
      </c>
    </row>
    <row r="158" ht="12.75" customHeight="1"/>
    <row r="159" spans="1:6" ht="12.75" customHeight="1">
      <c r="A159" t="s">
        <v>130</v>
      </c>
      <c r="E159" s="8">
        <f>Invoerblad!E214</f>
        <v>0</v>
      </c>
      <c r="F159" t="s">
        <v>24</v>
      </c>
    </row>
    <row r="160" ht="12.75" customHeight="1"/>
    <row r="161" spans="1:6" ht="12.75" customHeight="1">
      <c r="A161" t="s">
        <v>131</v>
      </c>
      <c r="E161" s="8">
        <f>Invoerblad!E216</f>
        <v>0</v>
      </c>
      <c r="F161" t="s">
        <v>28</v>
      </c>
    </row>
    <row r="163" spans="1:6" ht="12.75">
      <c r="A163" t="s">
        <v>132</v>
      </c>
      <c r="E163" s="8">
        <f>Invoerblad!E218</f>
        <v>0</v>
      </c>
      <c r="F163" t="s">
        <v>28</v>
      </c>
    </row>
    <row r="164" ht="12.75" customHeight="1"/>
    <row r="165" spans="1:7" ht="12.75">
      <c r="A165" s="1" t="s">
        <v>133</v>
      </c>
      <c r="F165" s="8">
        <f>Invoerblad!F220</f>
        <v>0</v>
      </c>
      <c r="G165" t="s">
        <v>50</v>
      </c>
    </row>
    <row r="171" ht="12.75">
      <c r="A171" s="63" t="s">
        <v>298</v>
      </c>
    </row>
    <row r="172" ht="12.75">
      <c r="I172" s="8" t="s">
        <v>103</v>
      </c>
    </row>
    <row r="173" spans="1:8" ht="12.75">
      <c r="A173" t="s">
        <v>299</v>
      </c>
      <c r="C173" s="87">
        <f>C102</f>
        <v>0</v>
      </c>
      <c r="G173" s="86">
        <f>IF(C173=0,0,IF(E175&gt;C177,(E175-C177),IF(C177&gt;E175,(C177-E175))))</f>
        <v>0</v>
      </c>
      <c r="H173" t="s">
        <v>50</v>
      </c>
    </row>
    <row r="175" ht="12.75">
      <c r="E175" s="88">
        <f>C104</f>
        <v>0</v>
      </c>
    </row>
    <row r="177" spans="1:8" ht="12.75">
      <c r="A177" t="s">
        <v>300</v>
      </c>
      <c r="C177" s="86">
        <f>Invoerblad!F121</f>
        <v>0</v>
      </c>
      <c r="G177" s="87">
        <f>IF(C173=0,0,IF(C173=E175,0,IF(C173&gt;E175,(C173-E175))))</f>
        <v>0</v>
      </c>
      <c r="H177" t="s">
        <v>50</v>
      </c>
    </row>
    <row r="179" spans="1:7" ht="12.75">
      <c r="A179" s="1" t="s">
        <v>301</v>
      </c>
      <c r="F179" s="10">
        <f>D100</f>
        <v>0</v>
      </c>
      <c r="G179" t="s">
        <v>26</v>
      </c>
    </row>
    <row r="182" spans="5:7" ht="12.75">
      <c r="E182" s="8" t="s">
        <v>302</v>
      </c>
      <c r="F182" s="89">
        <f>IF(C173=0,0,IF(C173&gt;10,-30,IF(C173&gt;6,-25,IF(C173&lt;=6,-20))))</f>
        <v>0</v>
      </c>
      <c r="G182" t="s">
        <v>303</v>
      </c>
    </row>
    <row r="183" spans="6:7" ht="12.75">
      <c r="F183" s="10">
        <f>F182+F179</f>
        <v>0</v>
      </c>
      <c r="G183" t="s">
        <v>304</v>
      </c>
    </row>
    <row r="186" ht="12.75">
      <c r="A186" s="38" t="s">
        <v>305</v>
      </c>
    </row>
    <row r="188" spans="1:7" ht="12.75">
      <c r="A188" s="73">
        <f>G173</f>
        <v>0</v>
      </c>
      <c r="B188" t="s">
        <v>306</v>
      </c>
      <c r="C188" s="10">
        <f>G177</f>
        <v>0</v>
      </c>
      <c r="D188" t="s">
        <v>307</v>
      </c>
      <c r="F188" s="166" t="s">
        <v>308</v>
      </c>
      <c r="G188" s="90">
        <f>G177</f>
        <v>0</v>
      </c>
    </row>
    <row r="189" spans="6:7" ht="12.75">
      <c r="F189" s="166"/>
      <c r="G189" s="73">
        <f>G173</f>
        <v>0</v>
      </c>
    </row>
    <row r="190" spans="1:9" ht="12.75">
      <c r="A190" s="179">
        <f>G115</f>
        <v>0</v>
      </c>
      <c r="B190" s="179" t="s">
        <v>309</v>
      </c>
      <c r="C190" s="89">
        <f>A190</f>
        <v>0</v>
      </c>
      <c r="D190" s="89" t="s">
        <v>310</v>
      </c>
      <c r="E190" s="90">
        <f>G188</f>
        <v>0</v>
      </c>
      <c r="F190" s="166" t="s">
        <v>311</v>
      </c>
      <c r="G190" s="180">
        <f>IF(C173=0,0,IF(E175=C173,0,(C190*E190)/D191))</f>
        <v>0</v>
      </c>
      <c r="H190" s="166" t="s">
        <v>307</v>
      </c>
      <c r="I190" s="166"/>
    </row>
    <row r="191" spans="1:9" ht="12.75">
      <c r="A191" s="179"/>
      <c r="B191" s="179"/>
      <c r="D191" s="73">
        <f>G189</f>
        <v>0</v>
      </c>
      <c r="F191" s="166"/>
      <c r="G191" s="180"/>
      <c r="H191" s="166"/>
      <c r="I191" s="166"/>
    </row>
    <row r="192" spans="1:9" ht="12.75">
      <c r="A192" s="1" t="s">
        <v>312</v>
      </c>
      <c r="C192" s="8">
        <f>A190</f>
        <v>0</v>
      </c>
      <c r="D192" t="s">
        <v>313</v>
      </c>
      <c r="E192" s="10">
        <f>G190</f>
        <v>0</v>
      </c>
      <c r="F192" t="s">
        <v>314</v>
      </c>
      <c r="H192" s="3">
        <f>C192+E192</f>
        <v>0</v>
      </c>
      <c r="I192" t="s">
        <v>315</v>
      </c>
    </row>
    <row r="193" ht="12.75">
      <c r="A193" s="38" t="s">
        <v>225</v>
      </c>
    </row>
    <row r="195" spans="1:5" ht="12.75">
      <c r="A195" s="8">
        <f>D108</f>
        <v>0</v>
      </c>
      <c r="B195" t="s">
        <v>316</v>
      </c>
      <c r="D195" s="8">
        <f>A195*18</f>
        <v>0</v>
      </c>
      <c r="E195" t="s">
        <v>26</v>
      </c>
    </row>
    <row r="200" spans="1:4" ht="12.75">
      <c r="A200" s="1" t="s">
        <v>317</v>
      </c>
      <c r="C200" s="8">
        <f>D195</f>
        <v>0</v>
      </c>
      <c r="D200" t="s">
        <v>26</v>
      </c>
    </row>
    <row r="201" spans="2:4" ht="12.75">
      <c r="B201" s="8" t="s">
        <v>310</v>
      </c>
      <c r="C201" s="90">
        <f>H192</f>
        <v>0</v>
      </c>
      <c r="D201" t="s">
        <v>50</v>
      </c>
    </row>
    <row r="202" spans="1:4" ht="12.75">
      <c r="A202" s="1" t="s">
        <v>318</v>
      </c>
      <c r="C202" s="10">
        <f>(C200*C201)/1000</f>
        <v>0</v>
      </c>
      <c r="D202" t="s">
        <v>319</v>
      </c>
    </row>
    <row r="204" spans="1:4" ht="12.75">
      <c r="A204" s="1" t="s">
        <v>320</v>
      </c>
      <c r="C204" s="74">
        <f>F183</f>
        <v>0</v>
      </c>
      <c r="D204" t="s">
        <v>26</v>
      </c>
    </row>
    <row r="205" spans="2:4" ht="12.75">
      <c r="B205" s="8" t="s">
        <v>310</v>
      </c>
      <c r="C205" s="89">
        <f>A190</f>
        <v>0</v>
      </c>
      <c r="D205" t="s">
        <v>50</v>
      </c>
    </row>
    <row r="206" spans="1:4" ht="12.75">
      <c r="A206" s="1" t="s">
        <v>318</v>
      </c>
      <c r="C206" s="10">
        <f>(C204*C205)/1000</f>
        <v>0</v>
      </c>
      <c r="D206" t="s">
        <v>319</v>
      </c>
    </row>
    <row r="208" ht="12.75">
      <c r="A208" s="1" t="s">
        <v>321</v>
      </c>
    </row>
    <row r="209" spans="3:4" ht="12.75">
      <c r="C209" s="10">
        <f>C202</f>
        <v>0</v>
      </c>
      <c r="D209" t="s">
        <v>322</v>
      </c>
    </row>
    <row r="210" spans="2:4" ht="12.75">
      <c r="B210" s="8" t="s">
        <v>302</v>
      </c>
      <c r="C210" s="90">
        <f>C206</f>
        <v>0</v>
      </c>
      <c r="D210" t="s">
        <v>323</v>
      </c>
    </row>
    <row r="211" spans="1:4" ht="12.75">
      <c r="A211" s="1" t="s">
        <v>318</v>
      </c>
      <c r="C211" s="10">
        <f>C209-C210</f>
        <v>0</v>
      </c>
      <c r="D211" t="s">
        <v>324</v>
      </c>
    </row>
    <row r="213" ht="12.75">
      <c r="A213" s="72" t="s">
        <v>325</v>
      </c>
    </row>
    <row r="215" ht="12.75">
      <c r="A215" s="1" t="s">
        <v>326</v>
      </c>
    </row>
    <row r="217" spans="4:5" ht="12.75">
      <c r="D217" s="10">
        <f>G190</f>
        <v>0</v>
      </c>
      <c r="E217" t="s">
        <v>50</v>
      </c>
    </row>
    <row r="218" spans="1:5" ht="12.75">
      <c r="A218" s="8" t="s">
        <v>302</v>
      </c>
      <c r="B218" s="10">
        <f>C211</f>
        <v>0</v>
      </c>
      <c r="C218" s="8" t="s">
        <v>327</v>
      </c>
      <c r="D218" s="90">
        <f>B218*0.6</f>
        <v>0</v>
      </c>
      <c r="E218" t="s">
        <v>328</v>
      </c>
    </row>
    <row r="220" spans="3:5" ht="12.75">
      <c r="C220" s="1" t="s">
        <v>318</v>
      </c>
      <c r="D220" s="10">
        <f>D217-D218</f>
        <v>0</v>
      </c>
      <c r="E220" t="s">
        <v>329</v>
      </c>
    </row>
    <row r="221" ht="12.75">
      <c r="A221" s="38" t="s">
        <v>330</v>
      </c>
    </row>
    <row r="230" spans="1:9" ht="12.75">
      <c r="A230" t="s">
        <v>442</v>
      </c>
      <c r="I230" s="8" t="s">
        <v>439</v>
      </c>
    </row>
    <row r="233" spans="1:6" ht="12.75">
      <c r="A233" s="91" t="s">
        <v>137</v>
      </c>
      <c r="B233" s="178" t="s">
        <v>331</v>
      </c>
      <c r="C233" s="176"/>
      <c r="D233" s="177"/>
      <c r="E233" s="79" t="s">
        <v>332</v>
      </c>
      <c r="F233" s="13"/>
    </row>
    <row r="234" spans="1:6" ht="12.75">
      <c r="A234" s="92">
        <f>Invoerblad!B224</f>
        <v>0</v>
      </c>
      <c r="B234" s="178" t="s">
        <v>333</v>
      </c>
      <c r="C234" s="176"/>
      <c r="D234" s="177"/>
      <c r="E234" s="93">
        <f>$C$211/3</f>
        <v>0</v>
      </c>
      <c r="F234" s="94" t="s">
        <v>49</v>
      </c>
    </row>
    <row r="235" spans="1:6" ht="12.75">
      <c r="A235" s="92">
        <f>Invoerblad!B225</f>
        <v>0</v>
      </c>
      <c r="B235" s="178" t="s">
        <v>334</v>
      </c>
      <c r="C235" s="176"/>
      <c r="D235" s="177"/>
      <c r="E235" s="93">
        <f>$C$211/3</f>
        <v>0</v>
      </c>
      <c r="F235" s="13" t="s">
        <v>49</v>
      </c>
    </row>
    <row r="236" spans="1:6" ht="12.75">
      <c r="A236" s="95">
        <f>Invoerblad!B226</f>
        <v>0</v>
      </c>
      <c r="B236" s="178" t="s">
        <v>335</v>
      </c>
      <c r="C236" s="176"/>
      <c r="D236" s="177"/>
      <c r="E236" s="93">
        <f>$C$211/3</f>
        <v>0</v>
      </c>
      <c r="F236" s="68" t="s">
        <v>49</v>
      </c>
    </row>
    <row r="237" spans="1:6" ht="12.75">
      <c r="A237" s="96" t="s">
        <v>137</v>
      </c>
      <c r="B237" s="178" t="s">
        <v>336</v>
      </c>
      <c r="C237" s="176"/>
      <c r="D237" s="177"/>
      <c r="E237" s="79" t="s">
        <v>337</v>
      </c>
      <c r="F237" s="13"/>
    </row>
    <row r="238" spans="1:6" ht="12.75">
      <c r="A238" s="95">
        <f>Invoerblad!B228</f>
        <v>0</v>
      </c>
      <c r="B238" s="178" t="s">
        <v>338</v>
      </c>
      <c r="C238" s="176"/>
      <c r="D238" s="177"/>
      <c r="E238" s="82">
        <f>$D$220/3</f>
        <v>0</v>
      </c>
      <c r="F238" s="13" t="s">
        <v>50</v>
      </c>
    </row>
    <row r="239" spans="1:6" ht="12.75">
      <c r="A239" s="95">
        <f>Invoerblad!B229</f>
        <v>0</v>
      </c>
      <c r="B239" s="178" t="s">
        <v>339</v>
      </c>
      <c r="C239" s="176"/>
      <c r="D239" s="177"/>
      <c r="E239" s="82">
        <f>$D$220/3</f>
        <v>0</v>
      </c>
      <c r="F239" s="68" t="s">
        <v>50</v>
      </c>
    </row>
    <row r="240" spans="1:6" ht="12.75">
      <c r="A240" s="95">
        <f>Invoerblad!B230</f>
        <v>0</v>
      </c>
      <c r="B240" s="178" t="s">
        <v>340</v>
      </c>
      <c r="C240" s="176"/>
      <c r="D240" s="177"/>
      <c r="E240" s="82">
        <f>$D$220/3</f>
        <v>0</v>
      </c>
      <c r="F240" s="68" t="s">
        <v>50</v>
      </c>
    </row>
    <row r="244" ht="12.75">
      <c r="A244" s="38" t="s">
        <v>341</v>
      </c>
    </row>
    <row r="247" spans="2:9" ht="12.75">
      <c r="B247" s="97" t="s">
        <v>137</v>
      </c>
      <c r="C247" s="98" t="s">
        <v>138</v>
      </c>
      <c r="D247" s="99" t="s">
        <v>95</v>
      </c>
      <c r="E247" s="98" t="s">
        <v>139</v>
      </c>
      <c r="F247" s="178" t="s">
        <v>140</v>
      </c>
      <c r="G247" s="177"/>
      <c r="H247" s="178" t="s">
        <v>342</v>
      </c>
      <c r="I247" s="177"/>
    </row>
    <row r="248" spans="2:9" ht="12.75">
      <c r="B248" s="95">
        <f>Invoerblad!B237</f>
        <v>0</v>
      </c>
      <c r="C248" s="91">
        <f>Invoerblad!C237</f>
        <v>0</v>
      </c>
      <c r="D248" s="100">
        <f>Invoerblad!D237</f>
        <v>0</v>
      </c>
      <c r="E248" s="91">
        <f>Invoerblad!E237</f>
        <v>0</v>
      </c>
      <c r="F248" s="8">
        <f>Invoerblad!F237</f>
        <v>0</v>
      </c>
      <c r="G248" s="20" t="s">
        <v>50</v>
      </c>
      <c r="H248" s="84">
        <f>Invoerblad!H237</f>
        <v>0</v>
      </c>
      <c r="I248" s="17" t="s">
        <v>37</v>
      </c>
    </row>
    <row r="249" spans="2:9" ht="12.75">
      <c r="B249" s="95">
        <f>Invoerblad!B238</f>
        <v>0</v>
      </c>
      <c r="C249" s="88">
        <f>Invoerblad!C238</f>
        <v>0</v>
      </c>
      <c r="D249" s="12">
        <f>Invoerblad!D238</f>
        <v>0</v>
      </c>
      <c r="E249" s="88">
        <f>Invoerblad!E238</f>
        <v>0</v>
      </c>
      <c r="F249" s="79">
        <f>Invoerblad!F238</f>
        <v>0</v>
      </c>
      <c r="G249" s="81" t="s">
        <v>50</v>
      </c>
      <c r="H249" s="79">
        <f>Invoerblad!H238</f>
        <v>0</v>
      </c>
      <c r="I249" s="81" t="s">
        <v>37</v>
      </c>
    </row>
    <row r="250" spans="2:9" ht="12.75">
      <c r="B250" s="95">
        <f>Invoerblad!B239</f>
        <v>0</v>
      </c>
      <c r="C250" s="88">
        <f>Invoerblad!C239</f>
        <v>0</v>
      </c>
      <c r="D250" s="12">
        <f>Invoerblad!D239</f>
        <v>0</v>
      </c>
      <c r="E250" s="88">
        <f>Invoerblad!E239</f>
        <v>0</v>
      </c>
      <c r="F250" s="83">
        <f>Invoerblad!F239</f>
        <v>0</v>
      </c>
      <c r="G250" s="20" t="s">
        <v>50</v>
      </c>
      <c r="H250" s="79">
        <f>Invoerblad!H239</f>
        <v>0</v>
      </c>
      <c r="I250" s="81" t="s">
        <v>37</v>
      </c>
    </row>
    <row r="251" spans="2:9" ht="12.75">
      <c r="B251" s="95">
        <f>Invoerblad!B240</f>
        <v>0</v>
      </c>
      <c r="C251" s="101">
        <f>Invoerblad!C240</f>
        <v>0</v>
      </c>
      <c r="D251" s="89">
        <f>Invoerblad!D240</f>
        <v>0</v>
      </c>
      <c r="E251" s="101">
        <f>Invoerblad!E240</f>
        <v>0</v>
      </c>
      <c r="F251" s="79">
        <f>Invoerblad!F240</f>
        <v>0</v>
      </c>
      <c r="G251" s="81" t="s">
        <v>50</v>
      </c>
      <c r="H251" s="85">
        <f>Invoerblad!H240</f>
        <v>0</v>
      </c>
      <c r="I251" s="25" t="s">
        <v>37</v>
      </c>
    </row>
    <row r="252" spans="2:9" ht="12.75">
      <c r="B252" s="95">
        <f>Invoerblad!B241</f>
        <v>0</v>
      </c>
      <c r="C252" s="101">
        <f>Invoerblad!C241</f>
        <v>0</v>
      </c>
      <c r="D252" s="89">
        <f>Invoerblad!D241</f>
        <v>0</v>
      </c>
      <c r="E252" s="101">
        <f>Invoerblad!E241</f>
        <v>0</v>
      </c>
      <c r="F252" s="79">
        <f>Invoerblad!F241</f>
        <v>0</v>
      </c>
      <c r="G252" s="81" t="s">
        <v>50</v>
      </c>
      <c r="H252" s="85">
        <f>Invoerblad!H241</f>
        <v>0</v>
      </c>
      <c r="I252" s="25" t="s">
        <v>37</v>
      </c>
    </row>
    <row r="255" ht="12.75">
      <c r="A255" s="63" t="s">
        <v>142</v>
      </c>
    </row>
    <row r="257" spans="1:5" ht="12.75">
      <c r="A257" s="1" t="s">
        <v>143</v>
      </c>
      <c r="D257" t="s">
        <v>10</v>
      </c>
      <c r="E257" s="69">
        <f>Invoerblad!E246</f>
        <v>0</v>
      </c>
    </row>
    <row r="258" spans="1:5" ht="12.75">
      <c r="A258" s="1" t="s">
        <v>144</v>
      </c>
      <c r="D258" t="s">
        <v>10</v>
      </c>
      <c r="E258" s="69">
        <f>Invoerblad!E247</f>
        <v>0</v>
      </c>
    </row>
    <row r="259" spans="1:5" ht="12.75">
      <c r="A259" t="s">
        <v>145</v>
      </c>
      <c r="D259" s="8">
        <f>Invoerblad!D248</f>
        <v>0</v>
      </c>
      <c r="E259" t="s">
        <v>146</v>
      </c>
    </row>
    <row r="260" spans="1:5" ht="12.75" customHeight="1">
      <c r="A260" t="s">
        <v>147</v>
      </c>
      <c r="D260" s="8">
        <f>Invoerblad!D249</f>
        <v>0</v>
      </c>
      <c r="E260" t="s">
        <v>146</v>
      </c>
    </row>
    <row r="261" spans="1:5" ht="12.75">
      <c r="A261" s="1" t="s">
        <v>148</v>
      </c>
      <c r="D261" t="s">
        <v>10</v>
      </c>
      <c r="E261" s="69">
        <f>Invoerblad!E250</f>
        <v>0</v>
      </c>
    </row>
    <row r="262" spans="1:5" ht="12.75">
      <c r="A262" t="s">
        <v>149</v>
      </c>
      <c r="D262" s="8">
        <f>Invoerblad!D251</f>
        <v>0</v>
      </c>
      <c r="E262" t="s">
        <v>146</v>
      </c>
    </row>
    <row r="263" spans="1:5" ht="12.75">
      <c r="A263" t="s">
        <v>147</v>
      </c>
      <c r="D263" s="8">
        <f>Invoerblad!D252</f>
        <v>0</v>
      </c>
      <c r="E263" t="s">
        <v>146</v>
      </c>
    </row>
    <row r="264" spans="1:5" ht="12.75">
      <c r="A264" s="1" t="s">
        <v>150</v>
      </c>
      <c r="B264" s="1"/>
      <c r="D264" t="s">
        <v>10</v>
      </c>
      <c r="E264" s="69">
        <f>Invoerblad!E253</f>
        <v>0</v>
      </c>
    </row>
    <row r="265" spans="1:5" ht="12.75">
      <c r="A265" t="s">
        <v>151</v>
      </c>
      <c r="D265" s="8">
        <f>Invoerblad!D254</f>
        <v>0</v>
      </c>
      <c r="E265" t="s">
        <v>37</v>
      </c>
    </row>
    <row r="266" spans="1:5" ht="12.75">
      <c r="A266" s="1" t="s">
        <v>152</v>
      </c>
      <c r="B266" s="1"/>
      <c r="D266" t="s">
        <v>10</v>
      </c>
      <c r="E266" s="69">
        <f>Invoerblad!E255</f>
        <v>0</v>
      </c>
    </row>
    <row r="267" spans="1:5" ht="12.75">
      <c r="A267" t="s">
        <v>153</v>
      </c>
      <c r="D267" s="8">
        <f>Invoerblad!D256</f>
        <v>0</v>
      </c>
      <c r="E267" t="s">
        <v>154</v>
      </c>
    </row>
    <row r="268" spans="1:5" ht="12.75">
      <c r="A268" s="1" t="s">
        <v>155</v>
      </c>
      <c r="B268" s="1"/>
      <c r="D268" t="s">
        <v>10</v>
      </c>
      <c r="E268" s="69">
        <f>Invoerblad!E257</f>
        <v>0</v>
      </c>
    </row>
    <row r="269" spans="1:5" ht="12.75">
      <c r="A269" t="s">
        <v>73</v>
      </c>
      <c r="D269" s="8">
        <f>Invoerblad!D258</f>
        <v>0</v>
      </c>
      <c r="E269" s="69" t="s">
        <v>156</v>
      </c>
    </row>
    <row r="270" spans="1:5" ht="12.75">
      <c r="A270" s="1" t="s">
        <v>157</v>
      </c>
      <c r="B270" s="1"/>
      <c r="D270" t="s">
        <v>10</v>
      </c>
      <c r="E270" s="69">
        <f>Invoerblad!E259</f>
        <v>0</v>
      </c>
    </row>
    <row r="271" spans="1:5" ht="12.75">
      <c r="A271" t="s">
        <v>158</v>
      </c>
      <c r="D271" s="8">
        <f>Invoerblad!D260</f>
        <v>0</v>
      </c>
      <c r="E271" t="s">
        <v>37</v>
      </c>
    </row>
    <row r="274" ht="12.75">
      <c r="A274" s="63" t="s">
        <v>159</v>
      </c>
    </row>
    <row r="276" spans="1:7" ht="12.75">
      <c r="A276" t="s">
        <v>10</v>
      </c>
      <c r="B276" s="69">
        <f>Invoerblad!B265</f>
        <v>0</v>
      </c>
      <c r="D276" s="8">
        <f>Invoerblad!D265</f>
        <v>0</v>
      </c>
      <c r="E276" t="s">
        <v>160</v>
      </c>
      <c r="F276" t="s">
        <v>161</v>
      </c>
      <c r="G276" s="8">
        <f>Invoerblad!G265</f>
        <v>0</v>
      </c>
    </row>
    <row r="277" spans="1:7" ht="12.75">
      <c r="A277" t="s">
        <v>10</v>
      </c>
      <c r="B277" s="69">
        <f>Invoerblad!B266</f>
        <v>0</v>
      </c>
      <c r="D277" s="8">
        <f>Invoerblad!D266</f>
        <v>0</v>
      </c>
      <c r="E277" t="s">
        <v>160</v>
      </c>
      <c r="F277" t="s">
        <v>161</v>
      </c>
      <c r="G277" s="8">
        <f>Invoerblad!G266</f>
        <v>0</v>
      </c>
    </row>
    <row r="278" spans="1:7" ht="12.75">
      <c r="A278" t="s">
        <v>10</v>
      </c>
      <c r="B278" s="69">
        <f>Invoerblad!B267</f>
        <v>0</v>
      </c>
      <c r="D278" s="8">
        <f>Invoerblad!D267</f>
        <v>0</v>
      </c>
      <c r="E278" t="s">
        <v>160</v>
      </c>
      <c r="F278" t="s">
        <v>161</v>
      </c>
      <c r="G278" s="8">
        <f>Invoerblad!G267</f>
        <v>0</v>
      </c>
    </row>
    <row r="281" ht="12.75">
      <c r="A281" s="63" t="s">
        <v>162</v>
      </c>
    </row>
    <row r="283" spans="1:5" ht="12.75">
      <c r="A283" t="s">
        <v>10</v>
      </c>
      <c r="B283" s="69">
        <f>Invoerblad!B272</f>
        <v>0</v>
      </c>
      <c r="D283" s="8">
        <f>Invoerblad!D272</f>
        <v>0</v>
      </c>
      <c r="E283" t="s">
        <v>163</v>
      </c>
    </row>
    <row r="284" spans="1:5" ht="12.75">
      <c r="A284" t="s">
        <v>10</v>
      </c>
      <c r="B284" s="69">
        <f>Invoerblad!B273</f>
        <v>0</v>
      </c>
      <c r="D284" s="8">
        <f>Invoerblad!D273</f>
        <v>0</v>
      </c>
      <c r="E284" t="s">
        <v>163</v>
      </c>
    </row>
    <row r="285" spans="1:5" ht="12.75">
      <c r="A285" t="s">
        <v>10</v>
      </c>
      <c r="B285" s="69">
        <f>Invoerblad!B274</f>
        <v>0</v>
      </c>
      <c r="D285" s="8">
        <f>Invoerblad!D274</f>
        <v>0</v>
      </c>
      <c r="E285" t="s">
        <v>163</v>
      </c>
    </row>
    <row r="286" spans="1:5" ht="12.75">
      <c r="A286" t="s">
        <v>10</v>
      </c>
      <c r="B286" s="69">
        <f>Invoerblad!B275</f>
        <v>0</v>
      </c>
      <c r="D286" s="8">
        <f>Invoerblad!D275</f>
        <v>0</v>
      </c>
      <c r="E286" t="s">
        <v>163</v>
      </c>
    </row>
    <row r="287" spans="1:5" ht="12.75">
      <c r="A287" t="s">
        <v>10</v>
      </c>
      <c r="B287" s="69">
        <f>Invoerblad!B276</f>
        <v>0</v>
      </c>
      <c r="D287" s="8">
        <f>Invoerblad!D276</f>
        <v>0</v>
      </c>
      <c r="E287" t="s">
        <v>163</v>
      </c>
    </row>
    <row r="288" ht="12.75">
      <c r="I288" s="8" t="s">
        <v>440</v>
      </c>
    </row>
    <row r="289" ht="12.75">
      <c r="A289" s="1" t="s">
        <v>169</v>
      </c>
    </row>
    <row r="291" spans="1:7" ht="12.75">
      <c r="A291" t="s">
        <v>10</v>
      </c>
      <c r="B291" s="69">
        <f>Invoerblad!B287</f>
        <v>0</v>
      </c>
      <c r="D291" t="s">
        <v>170</v>
      </c>
      <c r="F291" s="8">
        <f>Invoerblad!F287</f>
        <v>0</v>
      </c>
      <c r="G291" t="s">
        <v>171</v>
      </c>
    </row>
    <row r="292" spans="1:7" ht="12.75">
      <c r="A292" t="s">
        <v>10</v>
      </c>
      <c r="B292" s="69">
        <f>Invoerblad!B288</f>
        <v>0</v>
      </c>
      <c r="D292" t="s">
        <v>170</v>
      </c>
      <c r="F292" s="8">
        <f>Invoerblad!F288</f>
        <v>0</v>
      </c>
      <c r="G292" t="s">
        <v>171</v>
      </c>
    </row>
    <row r="293" spans="1:7" ht="12.75">
      <c r="A293" t="s">
        <v>10</v>
      </c>
      <c r="B293" s="69">
        <f>Invoerblad!B289</f>
        <v>0</v>
      </c>
      <c r="D293" t="s">
        <v>170</v>
      </c>
      <c r="F293" s="8">
        <f>Invoerblad!F289</f>
        <v>0</v>
      </c>
      <c r="G293" t="s">
        <v>171</v>
      </c>
    </row>
    <row r="294" spans="1:7" ht="12.75">
      <c r="A294" t="s">
        <v>10</v>
      </c>
      <c r="B294" s="69">
        <f>Invoerblad!B290</f>
        <v>0</v>
      </c>
      <c r="D294" t="s">
        <v>170</v>
      </c>
      <c r="F294" s="8">
        <f>Invoerblad!F290</f>
        <v>0</v>
      </c>
      <c r="G294" t="s">
        <v>171</v>
      </c>
    </row>
    <row r="295" spans="1:7" ht="12.75">
      <c r="A295" t="s">
        <v>10</v>
      </c>
      <c r="B295" s="69">
        <f>Invoerblad!B291</f>
        <v>0</v>
      </c>
      <c r="D295" t="s">
        <v>170</v>
      </c>
      <c r="F295" s="8">
        <f>Invoerblad!F291</f>
        <v>0</v>
      </c>
      <c r="G295" t="s">
        <v>171</v>
      </c>
    </row>
    <row r="299" ht="12.75">
      <c r="A299" s="63" t="s">
        <v>164</v>
      </c>
    </row>
    <row r="301" spans="1:9" ht="12.75">
      <c r="A301" t="s">
        <v>165</v>
      </c>
      <c r="B301" s="8">
        <f>Invoerblad!B280</f>
        <v>0</v>
      </c>
      <c r="C301" t="s">
        <v>166</v>
      </c>
      <c r="F301" t="s">
        <v>92</v>
      </c>
      <c r="H301" s="8">
        <f>Invoerblad!H280</f>
        <v>0</v>
      </c>
      <c r="I301" t="s">
        <v>33</v>
      </c>
    </row>
    <row r="303" spans="1:9" ht="12.75">
      <c r="A303" t="s">
        <v>89</v>
      </c>
      <c r="C303" s="69">
        <f>Invoerblad!C282</f>
        <v>0</v>
      </c>
      <c r="D303" t="s">
        <v>343</v>
      </c>
      <c r="E303" s="69"/>
      <c r="F303" s="69">
        <f>Invoerblad!F282</f>
        <v>0</v>
      </c>
      <c r="G303" t="s">
        <v>168</v>
      </c>
      <c r="H303" s="8">
        <f>Invoerblad!H282</f>
        <v>0</v>
      </c>
      <c r="I303" t="s">
        <v>127</v>
      </c>
    </row>
    <row r="306" spans="1:4" ht="12.75">
      <c r="A306" s="63" t="s">
        <v>172</v>
      </c>
      <c r="C306" t="s">
        <v>10</v>
      </c>
      <c r="D306" s="69">
        <f>Invoerblad!E294</f>
        <v>0</v>
      </c>
    </row>
    <row r="309" ht="12.75">
      <c r="A309" s="1" t="s">
        <v>173</v>
      </c>
    </row>
    <row r="311" spans="2:3" ht="12.75">
      <c r="B311" s="8">
        <f>Invoerblad!B298</f>
        <v>0</v>
      </c>
      <c r="C311" t="s">
        <v>15</v>
      </c>
    </row>
    <row r="312" spans="2:3" ht="12.75">
      <c r="B312" s="73">
        <f>Invoerblad!B299</f>
        <v>0</v>
      </c>
      <c r="C312" t="s">
        <v>174</v>
      </c>
    </row>
    <row r="313" spans="2:5" ht="12.75">
      <c r="B313" s="8">
        <f>Invoerblad!B300</f>
        <v>0</v>
      </c>
      <c r="C313" t="s">
        <v>175</v>
      </c>
      <c r="D313" t="s">
        <v>176</v>
      </c>
      <c r="E313" s="8">
        <f>Invoerblad!E240</f>
        <v>0</v>
      </c>
    </row>
    <row r="314" spans="2:3" ht="12.75">
      <c r="B314" s="8">
        <f>Invoerblad!B301</f>
        <v>0</v>
      </c>
      <c r="C314" t="s">
        <v>171</v>
      </c>
    </row>
    <row r="316" spans="1:6" ht="12.75">
      <c r="A316" s="1" t="s">
        <v>344</v>
      </c>
      <c r="F316" s="69"/>
    </row>
    <row r="318" spans="1:8" ht="12.75">
      <c r="A318" t="s">
        <v>345</v>
      </c>
      <c r="C318" s="8">
        <f>IF(D252=0,0,IF(D252&lt;995,2.5,IF(D252&lt;1005,2.5,IF(D252&gt;1005,2.5))))</f>
        <v>0</v>
      </c>
      <c r="D318" t="s">
        <v>346</v>
      </c>
      <c r="E318" s="8">
        <f>F252</f>
        <v>0</v>
      </c>
      <c r="F318" s="8" t="s">
        <v>311</v>
      </c>
      <c r="G318" s="8">
        <f>(C318*E318)/10</f>
        <v>0</v>
      </c>
      <c r="H318" t="s">
        <v>37</v>
      </c>
    </row>
    <row r="319" spans="1:8" ht="12.75">
      <c r="A319" t="s">
        <v>347</v>
      </c>
      <c r="C319" s="8">
        <f>IF(D252=0,0,IF(D252&lt;995,0.3,IF(D252&lt;1005,0.4,IF(D252&gt;1005,0.5))))</f>
        <v>0</v>
      </c>
      <c r="D319" t="s">
        <v>346</v>
      </c>
      <c r="E319" s="8">
        <f>F252</f>
        <v>0</v>
      </c>
      <c r="F319" s="8" t="s">
        <v>311</v>
      </c>
      <c r="G319" s="8">
        <f>(C319*E319)/10</f>
        <v>0</v>
      </c>
      <c r="H319" t="s">
        <v>37</v>
      </c>
    </row>
    <row r="320" spans="1:8" ht="12.75">
      <c r="A320" t="s">
        <v>348</v>
      </c>
      <c r="C320" s="8">
        <f>IF(D252=0,0,IF(D252&lt;995,0.5,IF(D252&lt;1005,1,IF(D252&gt;1005,1.5))))</f>
        <v>0</v>
      </c>
      <c r="D320" t="s">
        <v>346</v>
      </c>
      <c r="E320" s="8">
        <f>F252</f>
        <v>0</v>
      </c>
      <c r="F320" s="8" t="s">
        <v>311</v>
      </c>
      <c r="G320" s="8">
        <f>(C320*E320)/10</f>
        <v>0</v>
      </c>
      <c r="H320" t="s">
        <v>37</v>
      </c>
    </row>
    <row r="323" ht="12.75">
      <c r="A323" s="72" t="s">
        <v>349</v>
      </c>
    </row>
    <row r="324" ht="12.75">
      <c r="A324" s="72" t="s">
        <v>350</v>
      </c>
    </row>
    <row r="327" spans="1:6" ht="12.75">
      <c r="A327" s="1" t="s">
        <v>351</v>
      </c>
      <c r="E327" t="s">
        <v>10</v>
      </c>
      <c r="F327" s="69">
        <f>Invoerblad!B305</f>
        <v>0</v>
      </c>
    </row>
    <row r="329" spans="1:4" ht="12.75">
      <c r="A329" t="s">
        <v>345</v>
      </c>
      <c r="C329" s="8">
        <f>G318</f>
        <v>0</v>
      </c>
      <c r="D329" t="s">
        <v>37</v>
      </c>
    </row>
    <row r="330" spans="1:4" ht="12.75">
      <c r="A330" t="s">
        <v>347</v>
      </c>
      <c r="C330" s="8">
        <f>G319</f>
        <v>0</v>
      </c>
      <c r="D330" t="s">
        <v>37</v>
      </c>
    </row>
    <row r="331" spans="1:4" ht="12.75">
      <c r="A331" t="s">
        <v>348</v>
      </c>
      <c r="C331" s="8">
        <f>G320</f>
        <v>0</v>
      </c>
      <c r="D331" t="s">
        <v>37</v>
      </c>
    </row>
    <row r="333" spans="1:4" ht="12.75">
      <c r="A333" s="1" t="s">
        <v>178</v>
      </c>
      <c r="C333" s="8">
        <f>Invoerblad!C307</f>
        <v>0</v>
      </c>
      <c r="D333" t="s">
        <v>179</v>
      </c>
    </row>
    <row r="334" spans="3:4" ht="12.75">
      <c r="C334" s="8">
        <f>Invoerblad!C308</f>
        <v>0</v>
      </c>
      <c r="D334" t="s">
        <v>180</v>
      </c>
    </row>
    <row r="335" spans="3:4" ht="12.75">
      <c r="C335" s="8">
        <f>Invoerblad!C309</f>
        <v>0</v>
      </c>
      <c r="D335" t="s">
        <v>181</v>
      </c>
    </row>
    <row r="346" ht="12.75">
      <c r="D346" s="8"/>
    </row>
    <row r="347" spans="1:5" ht="12.75">
      <c r="A347" s="1"/>
      <c r="B347" s="1"/>
      <c r="E347" s="69"/>
    </row>
    <row r="348" ht="12.75">
      <c r="D348" s="8"/>
    </row>
    <row r="349" spans="1:5" ht="12.75">
      <c r="A349" s="1"/>
      <c r="B349" s="1"/>
      <c r="E349" s="69"/>
    </row>
    <row r="350" ht="12.75">
      <c r="D350" s="8"/>
    </row>
    <row r="351" spans="1:5" ht="12.75">
      <c r="A351" s="1"/>
      <c r="B351" s="1"/>
      <c r="E351" s="69"/>
    </row>
    <row r="352" spans="4:5" ht="12.75">
      <c r="D352" s="8"/>
      <c r="E352" s="69"/>
    </row>
    <row r="353" spans="1:5" ht="12.75">
      <c r="A353" s="1"/>
      <c r="B353" s="1"/>
      <c r="E353" s="8"/>
    </row>
    <row r="354" spans="4:8" ht="12.75">
      <c r="D354" s="8"/>
      <c r="H354" s="8"/>
    </row>
    <row r="356" spans="1:8" ht="12.75">
      <c r="A356" s="63"/>
      <c r="H356" s="52"/>
    </row>
    <row r="358" spans="2:4" ht="12.75">
      <c r="B358" s="69"/>
      <c r="D358" s="8"/>
    </row>
    <row r="359" spans="2:4" ht="12.75">
      <c r="B359" s="69"/>
      <c r="D359" s="8"/>
    </row>
    <row r="360" spans="2:4" ht="12.75">
      <c r="B360" s="69"/>
      <c r="D360" s="8"/>
    </row>
    <row r="363" ht="12.75">
      <c r="A363" s="63"/>
    </row>
    <row r="365" spans="2:8" ht="12.75">
      <c r="B365" s="69"/>
      <c r="D365" s="8"/>
      <c r="H365" s="8"/>
    </row>
    <row r="366" spans="2:4" ht="12.75">
      <c r="B366" s="69"/>
      <c r="D366" s="8"/>
    </row>
    <row r="367" spans="2:7" ht="12.75">
      <c r="B367" s="69"/>
      <c r="D367" s="8"/>
      <c r="G367" s="8"/>
    </row>
    <row r="368" spans="2:4" ht="12.75">
      <c r="B368" s="69"/>
      <c r="D368" s="8"/>
    </row>
    <row r="369" spans="2:4" ht="12.75">
      <c r="B369" s="69"/>
      <c r="D369" s="8"/>
    </row>
    <row r="370" spans="3:6" ht="12.75">
      <c r="C370" s="69"/>
      <c r="F370" s="71"/>
    </row>
    <row r="373" ht="12.75">
      <c r="A373" s="1"/>
    </row>
    <row r="375" spans="2:6" ht="12.75">
      <c r="B375" s="69"/>
      <c r="F375" s="8"/>
    </row>
    <row r="376" spans="2:6" ht="12.75">
      <c r="B376" s="69"/>
      <c r="F376" s="8"/>
    </row>
    <row r="377" spans="2:6" ht="12.75">
      <c r="B377" s="69"/>
      <c r="F377" s="8"/>
    </row>
    <row r="378" spans="2:6" ht="12.75">
      <c r="B378" s="69"/>
      <c r="F378" s="8"/>
    </row>
    <row r="379" spans="2:6" ht="12.75">
      <c r="B379" s="69"/>
      <c r="F379" s="8"/>
    </row>
    <row r="382" ht="12.75">
      <c r="A382" s="63"/>
    </row>
    <row r="384" spans="2:8" ht="12.75">
      <c r="B384" s="8"/>
      <c r="H384" s="8"/>
    </row>
    <row r="386" spans="3:7" ht="12.75">
      <c r="C386" s="69"/>
      <c r="E386" s="69"/>
      <c r="G386" s="8"/>
    </row>
    <row r="389" spans="1:4" ht="12.75">
      <c r="A389" s="63"/>
      <c r="D389" s="69"/>
    </row>
    <row r="391" ht="12.75">
      <c r="A391" s="1"/>
    </row>
    <row r="393" ht="12.75">
      <c r="B393" s="8"/>
    </row>
    <row r="394" ht="12.75">
      <c r="B394" s="8"/>
    </row>
    <row r="395" ht="12.75">
      <c r="B395" s="8"/>
    </row>
    <row r="396" ht="12.75">
      <c r="B396" s="8"/>
    </row>
    <row r="401" spans="1:6" ht="12.75">
      <c r="A401" s="1"/>
      <c r="F401" s="69"/>
    </row>
    <row r="403" spans="3:7" ht="12.75">
      <c r="C403" s="8"/>
      <c r="E403" s="8"/>
      <c r="F403" s="8"/>
      <c r="G403" s="8"/>
    </row>
    <row r="404" spans="3:7" ht="12.75">
      <c r="C404" s="8"/>
      <c r="E404" s="8"/>
      <c r="F404" s="8"/>
      <c r="G404" s="8"/>
    </row>
    <row r="405" spans="3:7" ht="12.75">
      <c r="C405" s="8"/>
      <c r="E405" s="8"/>
      <c r="F405" s="8"/>
      <c r="G405" s="8"/>
    </row>
    <row r="408" ht="12.75">
      <c r="A408" s="72"/>
    </row>
    <row r="409" ht="12.75">
      <c r="A409" s="72"/>
    </row>
    <row r="411" spans="1:6" ht="12.75">
      <c r="A411" s="1"/>
      <c r="F411" s="69"/>
    </row>
    <row r="413" ht="12.75">
      <c r="C413" s="8"/>
    </row>
    <row r="414" ht="12.75">
      <c r="C414" s="8"/>
    </row>
    <row r="415" ht="12.75">
      <c r="C415" s="8"/>
    </row>
    <row r="417" spans="1:3" ht="12.75">
      <c r="A417" s="1"/>
      <c r="C417" s="8"/>
    </row>
    <row r="418" ht="12.75">
      <c r="C418" s="8"/>
    </row>
    <row r="419" ht="12.75">
      <c r="C419" s="8"/>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39">
    <mergeCell ref="B237:D237"/>
    <mergeCell ref="B238:D238"/>
    <mergeCell ref="F247:G247"/>
    <mergeCell ref="H247:I247"/>
    <mergeCell ref="B239:D239"/>
    <mergeCell ref="B240:D240"/>
    <mergeCell ref="H190:I191"/>
    <mergeCell ref="B235:D235"/>
    <mergeCell ref="B236:D236"/>
    <mergeCell ref="B233:D233"/>
    <mergeCell ref="B234:D234"/>
    <mergeCell ref="A190:A191"/>
    <mergeCell ref="B190:B191"/>
    <mergeCell ref="F190:F191"/>
    <mergeCell ref="G190:G191"/>
    <mergeCell ref="G128:H128"/>
    <mergeCell ref="G129:H129"/>
    <mergeCell ref="G130:H130"/>
    <mergeCell ref="F188:F189"/>
    <mergeCell ref="G124:H124"/>
    <mergeCell ref="G125:H125"/>
    <mergeCell ref="G126:H126"/>
    <mergeCell ref="G127:H127"/>
    <mergeCell ref="A116:I117"/>
    <mergeCell ref="H61:I61"/>
    <mergeCell ref="A123:C123"/>
    <mergeCell ref="A1:H1"/>
    <mergeCell ref="A61:C61"/>
    <mergeCell ref="D61:E61"/>
    <mergeCell ref="F61:G61"/>
    <mergeCell ref="D123:F123"/>
    <mergeCell ref="G123:I123"/>
    <mergeCell ref="E124:F124"/>
    <mergeCell ref="E125:F125"/>
    <mergeCell ref="E126:F126"/>
    <mergeCell ref="E130:F130"/>
    <mergeCell ref="E129:F129"/>
    <mergeCell ref="E128:F128"/>
    <mergeCell ref="E127:F127"/>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I668"/>
  <sheetViews>
    <sheetView workbookViewId="0" topLeftCell="A1">
      <selection activeCell="F306" sqref="F306"/>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381</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7" spans="1:9" ht="15">
      <c r="A57" s="70" t="s">
        <v>46</v>
      </c>
      <c r="I57" s="8" t="s">
        <v>52</v>
      </c>
    </row>
    <row r="59" spans="1:8" ht="12.75">
      <c r="A59" s="38" t="s">
        <v>47</v>
      </c>
      <c r="F59" s="1" t="s">
        <v>48</v>
      </c>
      <c r="H59" s="69">
        <f>Invoerblad!H43</f>
        <v>0</v>
      </c>
    </row>
    <row r="61" spans="1:9" ht="12.75">
      <c r="A61" s="178" t="s">
        <v>246</v>
      </c>
      <c r="B61" s="176"/>
      <c r="C61" s="177"/>
      <c r="D61" s="178" t="s">
        <v>247</v>
      </c>
      <c r="E61" s="177"/>
      <c r="F61" s="178" t="s">
        <v>248</v>
      </c>
      <c r="G61" s="177"/>
      <c r="H61" s="178" t="s">
        <v>249</v>
      </c>
      <c r="I61" s="177"/>
    </row>
    <row r="62" spans="1:9" ht="12.75">
      <c r="A62" s="11">
        <f>Invoerblad!B45</f>
        <v>0</v>
      </c>
      <c r="B62" s="80"/>
      <c r="C62" s="81"/>
      <c r="D62" s="79">
        <f>Invoerblad!E45</f>
        <v>0</v>
      </c>
      <c r="E62" s="81" t="s">
        <v>49</v>
      </c>
      <c r="F62" s="79">
        <f>Invoerblad!G45</f>
        <v>0</v>
      </c>
      <c r="G62" s="81" t="s">
        <v>50</v>
      </c>
      <c r="H62" s="82">
        <f aca="true" t="shared" si="0" ref="H62:H69">IF($D62=0,0,($F62/$D62)*100)</f>
        <v>0</v>
      </c>
      <c r="I62" s="81" t="s">
        <v>250</v>
      </c>
    </row>
    <row r="63" spans="1:9" ht="12.75">
      <c r="A63" s="19">
        <f>Invoerblad!B46</f>
        <v>0</v>
      </c>
      <c r="B63" s="20"/>
      <c r="C63" s="21"/>
      <c r="D63" s="83">
        <f>Invoerblad!E46</f>
        <v>0</v>
      </c>
      <c r="E63" s="21" t="s">
        <v>49</v>
      </c>
      <c r="F63" s="83">
        <f>Invoerblad!G46</f>
        <v>0</v>
      </c>
      <c r="G63" s="21" t="s">
        <v>50</v>
      </c>
      <c r="H63" s="82">
        <f t="shared" si="0"/>
        <v>0</v>
      </c>
      <c r="I63" s="81" t="s">
        <v>250</v>
      </c>
    </row>
    <row r="64" spans="1:9" ht="12.75">
      <c r="A64" s="15">
        <f>Invoerblad!B47</f>
        <v>0</v>
      </c>
      <c r="B64" s="16"/>
      <c r="C64" s="17"/>
      <c r="D64" s="84">
        <f>Invoerblad!E47</f>
        <v>0</v>
      </c>
      <c r="E64" s="17" t="s">
        <v>49</v>
      </c>
      <c r="F64" s="84">
        <f>Invoerblad!G47</f>
        <v>0</v>
      </c>
      <c r="G64" s="17" t="s">
        <v>50</v>
      </c>
      <c r="H64" s="82">
        <f t="shared" si="0"/>
        <v>0</v>
      </c>
      <c r="I64" s="81" t="s">
        <v>250</v>
      </c>
    </row>
    <row r="65" spans="1:9" ht="12.75">
      <c r="A65" s="11">
        <f>Invoerblad!B48</f>
        <v>0</v>
      </c>
      <c r="B65" s="80"/>
      <c r="C65" s="81"/>
      <c r="D65" s="79">
        <f>Invoerblad!E48</f>
        <v>0</v>
      </c>
      <c r="E65" s="81" t="s">
        <v>49</v>
      </c>
      <c r="F65" s="79">
        <f>Invoerblad!G48</f>
        <v>0</v>
      </c>
      <c r="G65" s="81" t="s">
        <v>50</v>
      </c>
      <c r="H65" s="82">
        <f t="shared" si="0"/>
        <v>0</v>
      </c>
      <c r="I65" s="81" t="s">
        <v>250</v>
      </c>
    </row>
    <row r="66" spans="1:9" ht="12.75">
      <c r="A66" s="19">
        <f>Invoerblad!B49</f>
        <v>0</v>
      </c>
      <c r="B66" s="20"/>
      <c r="C66" s="21"/>
      <c r="D66" s="83">
        <f>Invoerblad!E49</f>
        <v>0</v>
      </c>
      <c r="E66" s="21" t="s">
        <v>49</v>
      </c>
      <c r="F66" s="83">
        <f>Invoerblad!G49</f>
        <v>0</v>
      </c>
      <c r="G66" s="21" t="s">
        <v>50</v>
      </c>
      <c r="H66" s="82">
        <f t="shared" si="0"/>
        <v>0</v>
      </c>
      <c r="I66" s="81" t="s">
        <v>250</v>
      </c>
    </row>
    <row r="67" spans="1:9" ht="12.75">
      <c r="A67" s="11">
        <f>Invoerblad!B50</f>
        <v>0</v>
      </c>
      <c r="B67" s="80"/>
      <c r="C67" s="81"/>
      <c r="D67" s="79">
        <f>Invoerblad!E50</f>
        <v>0</v>
      </c>
      <c r="E67" s="81" t="s">
        <v>49</v>
      </c>
      <c r="F67" s="79">
        <f>Invoerblad!G50</f>
        <v>0</v>
      </c>
      <c r="G67" s="81" t="s">
        <v>50</v>
      </c>
      <c r="H67" s="82">
        <f t="shared" si="0"/>
        <v>0</v>
      </c>
      <c r="I67" s="81" t="s">
        <v>250</v>
      </c>
    </row>
    <row r="68" spans="1:9" ht="12.75">
      <c r="A68" s="23">
        <f>Invoerblad!B51</f>
        <v>0</v>
      </c>
      <c r="B68" s="24"/>
      <c r="C68" s="25"/>
      <c r="D68" s="85">
        <f>Invoerblad!E51</f>
        <v>0</v>
      </c>
      <c r="E68" s="25" t="s">
        <v>49</v>
      </c>
      <c r="F68" s="85">
        <f>Invoerblad!G51</f>
        <v>0</v>
      </c>
      <c r="G68" s="25" t="s">
        <v>50</v>
      </c>
      <c r="H68" s="82">
        <f t="shared" si="0"/>
        <v>0</v>
      </c>
      <c r="I68" s="81" t="s">
        <v>250</v>
      </c>
    </row>
    <row r="69" spans="1:9" ht="12.75">
      <c r="A69" s="23" t="s">
        <v>251</v>
      </c>
      <c r="B69" s="24"/>
      <c r="C69" s="25"/>
      <c r="D69" s="85">
        <f>(D62+D63+D64+D65+D66+D67+D68)</f>
        <v>0</v>
      </c>
      <c r="E69" s="25" t="s">
        <v>49</v>
      </c>
      <c r="F69" s="85">
        <f>(F62+F63+F64+F65+F66+F67+F68)</f>
        <v>0</v>
      </c>
      <c r="G69" s="25" t="s">
        <v>50</v>
      </c>
      <c r="H69" s="82">
        <f t="shared" si="0"/>
        <v>0</v>
      </c>
      <c r="I69" s="81" t="s">
        <v>250</v>
      </c>
    </row>
    <row r="72" ht="12.75">
      <c r="A72" s="1" t="s">
        <v>51</v>
      </c>
    </row>
    <row r="73" spans="1:6" ht="12.75">
      <c r="A73">
        <v>1</v>
      </c>
      <c r="B73" t="s">
        <v>23</v>
      </c>
      <c r="D73" s="8">
        <f>Invoerblad!D58</f>
        <v>0</v>
      </c>
      <c r="E73" t="s">
        <v>27</v>
      </c>
      <c r="F73" s="8">
        <f>Invoerblad!F58</f>
        <v>0</v>
      </c>
    </row>
    <row r="74" spans="1:6" ht="12.75">
      <c r="A74">
        <v>2</v>
      </c>
      <c r="B74" t="s">
        <v>23</v>
      </c>
      <c r="D74" s="8">
        <f>Invoerblad!D59</f>
        <v>0</v>
      </c>
      <c r="E74" t="s">
        <v>27</v>
      </c>
      <c r="F74" s="8">
        <f>Invoerblad!F59</f>
        <v>0</v>
      </c>
    </row>
    <row r="75" spans="1:6" ht="12.75">
      <c r="A75">
        <v>3</v>
      </c>
      <c r="B75" t="s">
        <v>23</v>
      </c>
      <c r="D75" s="8">
        <f>Invoerblad!D60</f>
        <v>0</v>
      </c>
      <c r="E75" t="s">
        <v>27</v>
      </c>
      <c r="F75" s="8">
        <f>Invoerblad!F60</f>
        <v>0</v>
      </c>
    </row>
    <row r="76" spans="1:6" ht="12.75">
      <c r="A76">
        <v>4</v>
      </c>
      <c r="B76" t="s">
        <v>23</v>
      </c>
      <c r="D76" s="8">
        <f>Invoerblad!D61</f>
        <v>0</v>
      </c>
      <c r="E76" t="s">
        <v>27</v>
      </c>
      <c r="F76" s="8">
        <f>Invoerblad!F61</f>
        <v>0</v>
      </c>
    </row>
    <row r="77" spans="1:6" ht="12.75">
      <c r="A77">
        <v>5</v>
      </c>
      <c r="B77" t="s">
        <v>23</v>
      </c>
      <c r="D77" s="8">
        <f>Invoerblad!D62</f>
        <v>0</v>
      </c>
      <c r="E77" t="s">
        <v>27</v>
      </c>
      <c r="F77" s="8">
        <f>Invoerblad!F62</f>
        <v>0</v>
      </c>
    </row>
    <row r="78" spans="1:6" ht="12.75">
      <c r="A78">
        <v>6</v>
      </c>
      <c r="B78" t="s">
        <v>23</v>
      </c>
      <c r="D78" s="8">
        <f>Invoerblad!D63</f>
        <v>0</v>
      </c>
      <c r="E78" t="s">
        <v>27</v>
      </c>
      <c r="F78" s="8">
        <f>Invoerblad!F63</f>
        <v>0</v>
      </c>
    </row>
    <row r="79" spans="1:6" ht="12.75">
      <c r="A79">
        <v>7</v>
      </c>
      <c r="B79" t="s">
        <v>23</v>
      </c>
      <c r="D79" s="8">
        <f>Invoerblad!D64</f>
        <v>0</v>
      </c>
      <c r="E79" t="s">
        <v>27</v>
      </c>
      <c r="F79" s="8">
        <f>Invoerblad!F64</f>
        <v>0</v>
      </c>
    </row>
    <row r="82" ht="12.75">
      <c r="A82" s="38" t="s">
        <v>53</v>
      </c>
    </row>
    <row r="84" spans="1:8" ht="12.75">
      <c r="A84" t="s">
        <v>54</v>
      </c>
      <c r="D84" s="8">
        <f>Invoerblad!D68</f>
        <v>0</v>
      </c>
      <c r="E84" t="s">
        <v>37</v>
      </c>
      <c r="G84" t="s">
        <v>10</v>
      </c>
      <c r="H84" s="69">
        <f>Invoerblad!H68</f>
        <v>0</v>
      </c>
    </row>
    <row r="85" spans="1:8" ht="12.75">
      <c r="A85" t="s">
        <v>55</v>
      </c>
      <c r="D85" s="8">
        <f>Invoerblad!D69</f>
        <v>0</v>
      </c>
      <c r="E85" t="s">
        <v>37</v>
      </c>
      <c r="G85" t="s">
        <v>10</v>
      </c>
      <c r="H85" s="69">
        <f>Invoerblad!H69</f>
        <v>0</v>
      </c>
    </row>
    <row r="86" spans="1:8" ht="12.75">
      <c r="A86" t="s">
        <v>39</v>
      </c>
      <c r="D86" s="8">
        <f>Invoerblad!D70</f>
        <v>0</v>
      </c>
      <c r="E86" t="s">
        <v>37</v>
      </c>
      <c r="G86" t="s">
        <v>10</v>
      </c>
      <c r="H86" s="69">
        <f>Invoerblad!H70</f>
        <v>0</v>
      </c>
    </row>
    <row r="87" spans="1:8" ht="12.75">
      <c r="A87" t="s">
        <v>56</v>
      </c>
      <c r="D87" s="8">
        <f>Invoerblad!D71</f>
        <v>0</v>
      </c>
      <c r="E87" t="s">
        <v>57</v>
      </c>
      <c r="G87" t="s">
        <v>10</v>
      </c>
      <c r="H87" s="69">
        <f>Invoerblad!H71</f>
        <v>0</v>
      </c>
    </row>
    <row r="88" spans="1:6" ht="12.75">
      <c r="A88" t="s">
        <v>17</v>
      </c>
      <c r="B88">
        <f>Invoerblad!B72</f>
        <v>0</v>
      </c>
      <c r="E88" t="s">
        <v>19</v>
      </c>
      <c r="F88">
        <f>Invoerblad!F72</f>
        <v>0</v>
      </c>
    </row>
    <row r="89" spans="1:8" ht="12.75">
      <c r="A89" t="s">
        <v>58</v>
      </c>
      <c r="D89" s="8">
        <f>Invoerblad!D73</f>
        <v>0</v>
      </c>
      <c r="E89" t="s">
        <v>37</v>
      </c>
      <c r="G89" t="s">
        <v>10</v>
      </c>
      <c r="H89" s="69">
        <f>Invoerblad!H73</f>
        <v>0</v>
      </c>
    </row>
    <row r="90" spans="1:8" ht="12.75">
      <c r="A90" t="s">
        <v>59</v>
      </c>
      <c r="D90" s="8">
        <f>Invoerblad!D74</f>
        <v>0</v>
      </c>
      <c r="E90" t="s">
        <v>37</v>
      </c>
      <c r="G90" t="s">
        <v>10</v>
      </c>
      <c r="H90" s="69">
        <f>Invoerblad!H74</f>
        <v>0</v>
      </c>
    </row>
    <row r="91" spans="1:8" ht="12.75">
      <c r="A91" t="s">
        <v>60</v>
      </c>
      <c r="D91" s="8">
        <f>Invoerblad!D75</f>
        <v>0</v>
      </c>
      <c r="E91" t="s">
        <v>37</v>
      </c>
      <c r="G91" t="s">
        <v>10</v>
      </c>
      <c r="H91" s="69">
        <f>Invoerblad!H75</f>
        <v>0</v>
      </c>
    </row>
    <row r="92" spans="1:8" ht="12.75">
      <c r="A92" t="s">
        <v>252</v>
      </c>
      <c r="D92" s="8">
        <f>Invoerblad!D76</f>
        <v>0</v>
      </c>
      <c r="E92" t="s">
        <v>37</v>
      </c>
      <c r="G92" t="s">
        <v>10</v>
      </c>
      <c r="H92" s="69">
        <f>Invoerblad!H76</f>
        <v>0</v>
      </c>
    </row>
    <row r="94" ht="15">
      <c r="A94" s="70" t="s">
        <v>62</v>
      </c>
    </row>
    <row r="96" spans="1:8" ht="12.75">
      <c r="A96" s="1" t="s">
        <v>63</v>
      </c>
      <c r="G96" s="8">
        <f>Invoerblad!G80</f>
        <v>0</v>
      </c>
      <c r="H96" t="s">
        <v>24</v>
      </c>
    </row>
    <row r="97" spans="1:5" ht="12.75">
      <c r="A97" t="s">
        <v>25</v>
      </c>
      <c r="D97" s="8">
        <f>Invoerblad!D81</f>
        <v>0</v>
      </c>
      <c r="E97" t="s">
        <v>26</v>
      </c>
    </row>
    <row r="99" spans="1:4" ht="12.75">
      <c r="A99" s="1" t="s">
        <v>64</v>
      </c>
      <c r="B99" s="1"/>
      <c r="C99" s="8" t="b">
        <f>IF(F170&gt;0,F170,IF(F212&gt;0,F212,IF(F249&gt;0,F249)))</f>
        <v>0</v>
      </c>
      <c r="D99" t="s">
        <v>28</v>
      </c>
    </row>
    <row r="101" spans="1:4" ht="12.75">
      <c r="A101" s="1" t="s">
        <v>65</v>
      </c>
      <c r="B101" s="1"/>
      <c r="C101" s="8">
        <f>Invoerblad!C85</f>
        <v>0</v>
      </c>
      <c r="D101" t="s">
        <v>28</v>
      </c>
    </row>
    <row r="103" spans="1:4" ht="12.75">
      <c r="A103" s="1" t="s">
        <v>441</v>
      </c>
      <c r="C103" s="8" t="b">
        <f>IF(C99=C101,0,IF(C101&gt;C99,0))</f>
        <v>0</v>
      </c>
      <c r="D103" t="s">
        <v>28</v>
      </c>
    </row>
    <row r="106" spans="1:5" ht="12.75">
      <c r="A106" s="1" t="s">
        <v>66</v>
      </c>
      <c r="D106" s="8">
        <f>Invoerblad!D87</f>
        <v>0</v>
      </c>
      <c r="E106" t="s">
        <v>67</v>
      </c>
    </row>
    <row r="108" spans="1:7" ht="12.75">
      <c r="A108" s="1" t="s">
        <v>361</v>
      </c>
      <c r="B108" s="1"/>
      <c r="F108" s="119">
        <f>Invoerblad!F89</f>
        <v>0</v>
      </c>
      <c r="G108" t="s">
        <v>50</v>
      </c>
    </row>
    <row r="109" spans="2:4" ht="12.75">
      <c r="B109" s="112" t="s">
        <v>453</v>
      </c>
      <c r="C109" s="112"/>
      <c r="D109" s="112"/>
    </row>
    <row r="110" spans="1:8" ht="12.75">
      <c r="A110" s="1" t="s">
        <v>362</v>
      </c>
      <c r="G110" s="119">
        <f>Invoerblad!G91</f>
        <v>0</v>
      </c>
      <c r="H110" t="s">
        <v>50</v>
      </c>
    </row>
    <row r="111" spans="1:9" ht="12.75" customHeight="1">
      <c r="A111" s="165" t="s">
        <v>454</v>
      </c>
      <c r="B111" s="166"/>
      <c r="C111" s="166"/>
      <c r="D111" s="166"/>
      <c r="E111" s="166"/>
      <c r="F111" s="166"/>
      <c r="G111" s="166"/>
      <c r="H111" s="166"/>
      <c r="I111" s="166"/>
    </row>
    <row r="112" spans="1:9" ht="12.75">
      <c r="A112" s="166"/>
      <c r="B112" s="166"/>
      <c r="C112" s="166"/>
      <c r="D112" s="166"/>
      <c r="E112" s="166"/>
      <c r="F112" s="166"/>
      <c r="G112" s="166"/>
      <c r="H112" s="166"/>
      <c r="I112" s="166"/>
    </row>
    <row r="113" ht="12.75">
      <c r="D113" s="73"/>
    </row>
    <row r="114" spans="1:9" ht="12.75">
      <c r="A114" s="46" t="s">
        <v>377</v>
      </c>
      <c r="B114" s="46"/>
      <c r="C114" s="46"/>
      <c r="I114" s="8" t="s">
        <v>75</v>
      </c>
    </row>
    <row r="116" spans="1:9" ht="12.75">
      <c r="A116" s="178" t="s">
        <v>281</v>
      </c>
      <c r="B116" s="176"/>
      <c r="C116" s="177"/>
      <c r="D116" s="178" t="s">
        <v>282</v>
      </c>
      <c r="E116" s="176"/>
      <c r="F116" s="177"/>
      <c r="G116" s="178" t="s">
        <v>283</v>
      </c>
      <c r="H116" s="176"/>
      <c r="I116" s="177"/>
    </row>
    <row r="117" spans="1:9" ht="12.75">
      <c r="A117" s="11" t="s">
        <v>284</v>
      </c>
      <c r="B117" s="80"/>
      <c r="C117" s="81"/>
      <c r="D117" s="11" t="s">
        <v>285</v>
      </c>
      <c r="E117" s="176" t="s">
        <v>286</v>
      </c>
      <c r="F117" s="177"/>
      <c r="G117" s="11"/>
      <c r="H117" s="12">
        <f>(D69*1.2)/10</f>
        <v>0</v>
      </c>
      <c r="I117" s="81" t="s">
        <v>37</v>
      </c>
    </row>
    <row r="118" spans="1:9" ht="12.75">
      <c r="A118" s="19" t="s">
        <v>287</v>
      </c>
      <c r="B118" s="20"/>
      <c r="C118" s="21"/>
      <c r="D118" s="11" t="s">
        <v>285</v>
      </c>
      <c r="E118" s="176" t="s">
        <v>288</v>
      </c>
      <c r="F118" s="177"/>
      <c r="G118" s="19"/>
      <c r="H118" s="106">
        <f>(F69*1.2)/10</f>
        <v>0</v>
      </c>
      <c r="I118" s="81" t="s">
        <v>37</v>
      </c>
    </row>
    <row r="119" spans="1:9" ht="12.75">
      <c r="A119" s="15" t="s">
        <v>289</v>
      </c>
      <c r="B119" s="16"/>
      <c r="C119" s="17"/>
      <c r="D119" s="11" t="s">
        <v>285</v>
      </c>
      <c r="E119" s="176" t="s">
        <v>290</v>
      </c>
      <c r="F119" s="177"/>
      <c r="G119" s="15"/>
      <c r="H119" s="100">
        <f>(E110*3)/10</f>
        <v>0</v>
      </c>
      <c r="I119" s="81" t="s">
        <v>37</v>
      </c>
    </row>
    <row r="120" spans="1:9" ht="12.75">
      <c r="A120" s="11" t="s">
        <v>291</v>
      </c>
      <c r="B120" s="80"/>
      <c r="C120" s="81"/>
      <c r="D120" s="11" t="s">
        <v>285</v>
      </c>
      <c r="E120" s="176" t="s">
        <v>292</v>
      </c>
      <c r="F120" s="177"/>
      <c r="G120" s="11"/>
      <c r="H120" s="12">
        <f>(E110*10)/10</f>
        <v>0</v>
      </c>
      <c r="I120" s="81" t="s">
        <v>37</v>
      </c>
    </row>
    <row r="121" spans="1:9" ht="12.75">
      <c r="A121" s="23" t="s">
        <v>293</v>
      </c>
      <c r="B121" s="24"/>
      <c r="C121" s="25"/>
      <c r="D121" s="11" t="s">
        <v>285</v>
      </c>
      <c r="E121" s="176" t="s">
        <v>294</v>
      </c>
      <c r="F121" s="177"/>
      <c r="G121" s="23"/>
      <c r="H121" s="89">
        <f>(D108*8)/10</f>
        <v>0</v>
      </c>
      <c r="I121" s="81" t="s">
        <v>37</v>
      </c>
    </row>
    <row r="122" spans="1:9" ht="12.75">
      <c r="A122" s="19" t="s">
        <v>295</v>
      </c>
      <c r="B122" s="20"/>
      <c r="C122" s="21"/>
      <c r="D122" s="11" t="s">
        <v>285</v>
      </c>
      <c r="E122" s="176" t="s">
        <v>296</v>
      </c>
      <c r="F122" s="177"/>
      <c r="G122" s="19"/>
      <c r="H122" s="106">
        <f>(E110*5)/10</f>
        <v>0</v>
      </c>
      <c r="I122" s="81" t="s">
        <v>37</v>
      </c>
    </row>
    <row r="123" spans="1:9" ht="12.75">
      <c r="A123" s="11" t="s">
        <v>297</v>
      </c>
      <c r="B123" s="80"/>
      <c r="C123" s="81"/>
      <c r="D123" s="11" t="s">
        <v>285</v>
      </c>
      <c r="E123" s="176" t="s">
        <v>296</v>
      </c>
      <c r="F123" s="177"/>
      <c r="G123" s="11"/>
      <c r="H123" s="12">
        <f>(E110*5)/10</f>
        <v>0</v>
      </c>
      <c r="I123" s="81" t="s">
        <v>37</v>
      </c>
    </row>
    <row r="127" ht="12.75">
      <c r="A127" s="38" t="s">
        <v>114</v>
      </c>
    </row>
    <row r="129" spans="1:8" ht="12.75">
      <c r="A129" t="s">
        <v>115</v>
      </c>
      <c r="C129" s="8">
        <f>Invoerblad!C188</f>
        <v>0</v>
      </c>
      <c r="D129" t="s">
        <v>37</v>
      </c>
      <c r="E129" t="s">
        <v>119</v>
      </c>
      <c r="G129" s="8">
        <f>Invoerblad!H188</f>
        <v>0</v>
      </c>
      <c r="H129" t="s">
        <v>37</v>
      </c>
    </row>
    <row r="130" spans="1:8" ht="12.75">
      <c r="A130" t="s">
        <v>116</v>
      </c>
      <c r="C130" s="8">
        <f>Invoerblad!C189</f>
        <v>0</v>
      </c>
      <c r="D130" t="s">
        <v>37</v>
      </c>
      <c r="E130" t="s">
        <v>120</v>
      </c>
      <c r="G130" s="8">
        <f>Invoerblad!H189</f>
        <v>0</v>
      </c>
      <c r="H130" t="s">
        <v>37</v>
      </c>
    </row>
    <row r="131" spans="1:8" ht="12.75">
      <c r="A131" t="s">
        <v>117</v>
      </c>
      <c r="C131" s="8">
        <f>Invoerblad!C190</f>
        <v>0</v>
      </c>
      <c r="D131" t="s">
        <v>37</v>
      </c>
      <c r="E131" t="s">
        <v>121</v>
      </c>
      <c r="G131" s="8">
        <f>Invoerblad!H190</f>
        <v>0</v>
      </c>
      <c r="H131" t="s">
        <v>37</v>
      </c>
    </row>
    <row r="132" spans="1:4" ht="12.75">
      <c r="A132" t="s">
        <v>118</v>
      </c>
      <c r="C132" s="8">
        <f>Invoerblad!C191</f>
        <v>0</v>
      </c>
      <c r="D132" t="s">
        <v>37</v>
      </c>
    </row>
    <row r="135" ht="12.75">
      <c r="A135" s="63" t="s">
        <v>122</v>
      </c>
    </row>
    <row r="137" spans="1:8" ht="12.75">
      <c r="A137" s="1" t="s">
        <v>10</v>
      </c>
      <c r="B137" s="69">
        <f>Invoerblad!B196</f>
        <v>0</v>
      </c>
      <c r="C137" s="1" t="s">
        <v>90</v>
      </c>
      <c r="D137" s="71">
        <f>Invoerblad!D196</f>
        <v>0</v>
      </c>
      <c r="E137" s="1" t="s">
        <v>123</v>
      </c>
      <c r="H137" s="69">
        <f>Invoerblad!H196</f>
        <v>0</v>
      </c>
    </row>
    <row r="139" spans="1:6" ht="12.75">
      <c r="A139" s="1" t="s">
        <v>124</v>
      </c>
      <c r="E139" s="71">
        <f>Invoerblad!E198</f>
        <v>0</v>
      </c>
      <c r="F139" t="s">
        <v>30</v>
      </c>
    </row>
    <row r="141" spans="1:5" ht="12.75">
      <c r="A141" s="1" t="s">
        <v>32</v>
      </c>
      <c r="D141" s="73">
        <f>Invoerblad!D200</f>
        <v>0</v>
      </c>
      <c r="E141" t="s">
        <v>33</v>
      </c>
    </row>
    <row r="143" ht="12.75">
      <c r="A143" s="63" t="s">
        <v>125</v>
      </c>
    </row>
    <row r="145" spans="1:9" ht="12.75">
      <c r="A145" s="1" t="s">
        <v>123</v>
      </c>
      <c r="D145" s="69">
        <f>Invoerblad!D205</f>
        <v>0</v>
      </c>
      <c r="E145" s="1" t="s">
        <v>126</v>
      </c>
      <c r="H145" s="8">
        <f>Invoerblad!H205</f>
        <v>0</v>
      </c>
      <c r="I145" t="s">
        <v>127</v>
      </c>
    </row>
    <row r="147" spans="1:3" ht="12.75">
      <c r="A147" s="1" t="s">
        <v>128</v>
      </c>
      <c r="C147" s="69">
        <f>Invoerblad!D207</f>
        <v>0</v>
      </c>
    </row>
    <row r="148" ht="12.75" customHeight="1"/>
    <row r="149" ht="12.75" customHeight="1">
      <c r="C149" s="69"/>
    </row>
    <row r="150" spans="1:6" ht="12.75">
      <c r="A150" t="s">
        <v>129</v>
      </c>
      <c r="E150" s="8">
        <f>Invoerblad!E212</f>
        <v>0</v>
      </c>
      <c r="F150" t="s">
        <v>24</v>
      </c>
    </row>
    <row r="152" spans="1:6" ht="12.75" customHeight="1">
      <c r="A152" t="s">
        <v>130</v>
      </c>
      <c r="E152" s="8">
        <f>Invoerblad!E214</f>
        <v>0</v>
      </c>
      <c r="F152" t="s">
        <v>24</v>
      </c>
    </row>
    <row r="154" spans="1:6" ht="12.75" customHeight="1">
      <c r="A154" t="s">
        <v>131</v>
      </c>
      <c r="E154" s="8">
        <f>Invoerblad!E216</f>
        <v>0</v>
      </c>
      <c r="F154" t="s">
        <v>28</v>
      </c>
    </row>
    <row r="155" ht="12.75" customHeight="1"/>
    <row r="156" spans="1:6" ht="12.75" customHeight="1">
      <c r="A156" t="s">
        <v>132</v>
      </c>
      <c r="E156" s="8">
        <f>Invoerblad!E218</f>
        <v>0</v>
      </c>
      <c r="F156" t="s">
        <v>28</v>
      </c>
    </row>
    <row r="157" ht="12.75" customHeight="1"/>
    <row r="158" spans="1:7" ht="12.75" customHeight="1">
      <c r="A158" s="1" t="s">
        <v>133</v>
      </c>
      <c r="F158" s="8">
        <f>G110</f>
        <v>0</v>
      </c>
      <c r="G158" t="s">
        <v>50</v>
      </c>
    </row>
    <row r="159" ht="12.75" customHeight="1"/>
    <row r="160" ht="12.75" customHeight="1">
      <c r="A160" s="46" t="s">
        <v>358</v>
      </c>
    </row>
    <row r="161" ht="12.75" customHeight="1"/>
    <row r="162" spans="1:9" ht="12.75">
      <c r="A162" s="167" t="s">
        <v>373</v>
      </c>
      <c r="B162" s="168"/>
      <c r="C162" s="168"/>
      <c r="D162" s="168"/>
      <c r="E162" s="168"/>
      <c r="F162" s="168"/>
      <c r="G162" s="168"/>
      <c r="H162" s="168"/>
      <c r="I162" s="169"/>
    </row>
    <row r="163" spans="1:9" ht="12.75">
      <c r="A163" s="170"/>
      <c r="B163" s="171"/>
      <c r="C163" s="171"/>
      <c r="D163" s="171"/>
      <c r="E163" s="171"/>
      <c r="F163" s="171"/>
      <c r="G163" s="171"/>
      <c r="H163" s="171"/>
      <c r="I163" s="172"/>
    </row>
    <row r="164" spans="1:9" ht="12.75" customHeight="1">
      <c r="A164" s="135"/>
      <c r="B164" s="136"/>
      <c r="C164" s="136"/>
      <c r="D164" s="136"/>
      <c r="E164" s="136"/>
      <c r="F164" s="136"/>
      <c r="G164" s="136"/>
      <c r="H164" s="136"/>
      <c r="I164" s="147"/>
    </row>
    <row r="167" ht="12.75">
      <c r="A167" s="1" t="s">
        <v>71</v>
      </c>
    </row>
    <row r="168" spans="1:6" ht="12.75">
      <c r="A168" t="s">
        <v>10</v>
      </c>
      <c r="B168" s="28">
        <f>Invoerblad!B131</f>
        <v>0</v>
      </c>
      <c r="F168" s="86">
        <f>Invoerblad!F131</f>
        <v>0</v>
      </c>
    </row>
    <row r="169" spans="2:7" ht="12.75">
      <c r="B169" s="1" t="s">
        <v>355</v>
      </c>
      <c r="D169" s="1"/>
      <c r="F169" s="48">
        <f>Invoerblad!F132</f>
        <v>0</v>
      </c>
      <c r="G169" t="s">
        <v>37</v>
      </c>
    </row>
    <row r="170" spans="2:7" ht="12.75">
      <c r="B170" s="111" t="s">
        <v>359</v>
      </c>
      <c r="C170" s="111"/>
      <c r="D170" s="111"/>
      <c r="F170" s="118">
        <f>Invoerblad!F133</f>
        <v>0</v>
      </c>
      <c r="G170" t="s">
        <v>78</v>
      </c>
    </row>
    <row r="171" ht="12.75">
      <c r="B171" s="49" t="s">
        <v>443</v>
      </c>
    </row>
    <row r="172" ht="12.75">
      <c r="I172" s="8" t="s">
        <v>103</v>
      </c>
    </row>
    <row r="174" spans="1:2" ht="12.75">
      <c r="A174" s="121" t="s">
        <v>71</v>
      </c>
      <c r="B174" s="58"/>
    </row>
    <row r="176" spans="1:5" ht="12.75">
      <c r="A176" s="1" t="s">
        <v>383</v>
      </c>
      <c r="C176" s="8"/>
      <c r="D176" t="s">
        <v>384</v>
      </c>
      <c r="E176" t="s">
        <v>385</v>
      </c>
    </row>
    <row r="177" spans="3:5" ht="12.75">
      <c r="C177" s="8"/>
      <c r="E177" t="s">
        <v>386</v>
      </c>
    </row>
    <row r="178" spans="3:5" ht="12.75">
      <c r="C178" s="8"/>
      <c r="D178" t="s">
        <v>50</v>
      </c>
      <c r="E178" t="s">
        <v>387</v>
      </c>
    </row>
    <row r="179" ht="12.75">
      <c r="E179" t="s">
        <v>388</v>
      </c>
    </row>
    <row r="181" ht="12.75">
      <c r="A181" s="72" t="s">
        <v>389</v>
      </c>
    </row>
    <row r="184" ht="12.75">
      <c r="A184" t="s">
        <v>390</v>
      </c>
    </row>
    <row r="186" spans="1:7" ht="12.75">
      <c r="A186" t="s">
        <v>391</v>
      </c>
      <c r="B186" s="8">
        <f>C176*2*1</f>
        <v>0</v>
      </c>
      <c r="C186" t="s">
        <v>392</v>
      </c>
      <c r="E186" t="s">
        <v>393</v>
      </c>
      <c r="F186" s="8">
        <f>C176*2*4</f>
        <v>0</v>
      </c>
      <c r="G186" t="s">
        <v>392</v>
      </c>
    </row>
    <row r="187" spans="1:7" ht="12.75">
      <c r="A187" t="s">
        <v>394</v>
      </c>
      <c r="B187" s="8">
        <f>C176*2*2</f>
        <v>0</v>
      </c>
      <c r="C187" t="s">
        <v>392</v>
      </c>
      <c r="E187" t="s">
        <v>395</v>
      </c>
      <c r="F187" s="8">
        <f>C176*2*5</f>
        <v>0</v>
      </c>
      <c r="G187" t="s">
        <v>392</v>
      </c>
    </row>
    <row r="188" spans="1:7" ht="12.75">
      <c r="A188" t="s">
        <v>396</v>
      </c>
      <c r="B188" s="8">
        <f>C176*2*3</f>
        <v>0</v>
      </c>
      <c r="C188" t="s">
        <v>392</v>
      </c>
      <c r="E188" t="s">
        <v>397</v>
      </c>
      <c r="F188" s="8">
        <f>C176*2*6</f>
        <v>0</v>
      </c>
      <c r="G188" t="s">
        <v>392</v>
      </c>
    </row>
    <row r="190" ht="12.75">
      <c r="A190" t="s">
        <v>398</v>
      </c>
    </row>
    <row r="192" spans="1:7" ht="12.75">
      <c r="A192" t="s">
        <v>391</v>
      </c>
      <c r="B192" s="8">
        <f>C178*2.5*1</f>
        <v>0</v>
      </c>
      <c r="C192" t="s">
        <v>392</v>
      </c>
      <c r="E192" t="s">
        <v>393</v>
      </c>
      <c r="F192" s="8">
        <f>C178*2.5*4</f>
        <v>0</v>
      </c>
      <c r="G192" t="s">
        <v>392</v>
      </c>
    </row>
    <row r="193" spans="1:7" ht="12.75">
      <c r="A193" t="s">
        <v>394</v>
      </c>
      <c r="B193" s="8">
        <f>C178*2.5*2</f>
        <v>0</v>
      </c>
      <c r="C193" t="s">
        <v>392</v>
      </c>
      <c r="E193" t="s">
        <v>395</v>
      </c>
      <c r="F193" s="8">
        <f>C178*2.5*5</f>
        <v>0</v>
      </c>
      <c r="G193" t="s">
        <v>392</v>
      </c>
    </row>
    <row r="194" spans="1:7" ht="12.75">
      <c r="A194" t="s">
        <v>396</v>
      </c>
      <c r="B194" s="8">
        <f>C178*2.5*3</f>
        <v>0</v>
      </c>
      <c r="C194" t="s">
        <v>392</v>
      </c>
      <c r="E194" t="s">
        <v>397</v>
      </c>
      <c r="F194" s="8">
        <f>C178*2.5*6</f>
        <v>0</v>
      </c>
      <c r="G194" t="s">
        <v>392</v>
      </c>
    </row>
    <row r="195" ht="12.75">
      <c r="A195" s="72"/>
    </row>
    <row r="198" ht="12.75">
      <c r="A198" s="1" t="s">
        <v>399</v>
      </c>
    </row>
    <row r="200" ht="12.75">
      <c r="A200" s="75" t="s">
        <v>400</v>
      </c>
    </row>
    <row r="201" spans="1:5" ht="12.75">
      <c r="A201" s="75" t="s">
        <v>401</v>
      </c>
      <c r="D201" s="72"/>
      <c r="E201" s="72"/>
    </row>
    <row r="203" spans="1:7" ht="12.75">
      <c r="A203" t="s">
        <v>240</v>
      </c>
      <c r="C203" s="8">
        <f>G110</f>
        <v>0</v>
      </c>
      <c r="D203" t="s">
        <v>50</v>
      </c>
      <c r="G203" s="8"/>
    </row>
    <row r="204" spans="1:5" ht="12.75">
      <c r="A204" t="s">
        <v>402</v>
      </c>
      <c r="C204" t="s">
        <v>403</v>
      </c>
      <c r="D204" s="8">
        <f>C203*0.67*1</f>
        <v>0</v>
      </c>
      <c r="E204" t="s">
        <v>392</v>
      </c>
    </row>
    <row r="205" spans="3:5" ht="12.75">
      <c r="C205" t="s">
        <v>404</v>
      </c>
      <c r="D205" s="8">
        <f>C203*0.67*2</f>
        <v>0</v>
      </c>
      <c r="E205" t="s">
        <v>392</v>
      </c>
    </row>
    <row r="206" spans="3:5" ht="12.75">
      <c r="C206" t="s">
        <v>405</v>
      </c>
      <c r="D206" s="8">
        <f>C203*0.67*3</f>
        <v>0</v>
      </c>
      <c r="E206" t="s">
        <v>392</v>
      </c>
    </row>
    <row r="207" spans="3:5" ht="12.75">
      <c r="C207" t="s">
        <v>406</v>
      </c>
      <c r="D207" s="8">
        <f>C203*0.67*4</f>
        <v>0</v>
      </c>
      <c r="E207" t="s">
        <v>392</v>
      </c>
    </row>
    <row r="209" ht="12.75">
      <c r="A209" s="1" t="s">
        <v>72</v>
      </c>
    </row>
    <row r="210" spans="1:6" ht="12.75">
      <c r="A210" t="s">
        <v>10</v>
      </c>
      <c r="B210" s="28"/>
      <c r="F210" s="86">
        <f>Invoerblad!F137</f>
        <v>0</v>
      </c>
    </row>
    <row r="211" spans="2:7" ht="12.75">
      <c r="B211" s="1" t="s">
        <v>355</v>
      </c>
      <c r="D211" s="1"/>
      <c r="F211" s="48">
        <f>Invoerblad!F138</f>
        <v>0</v>
      </c>
      <c r="G211" t="s">
        <v>37</v>
      </c>
    </row>
    <row r="212" spans="2:7" ht="12.75">
      <c r="B212" s="111" t="s">
        <v>359</v>
      </c>
      <c r="C212" s="111"/>
      <c r="D212" s="111"/>
      <c r="F212" s="118">
        <f>Invoerblad!F139</f>
        <v>0</v>
      </c>
      <c r="G212" t="s">
        <v>78</v>
      </c>
    </row>
    <row r="213" ht="12.75">
      <c r="B213" s="49" t="s">
        <v>445</v>
      </c>
    </row>
    <row r="216" ht="12.75">
      <c r="A216" s="121" t="s">
        <v>407</v>
      </c>
    </row>
    <row r="217" ht="12.75">
      <c r="A217" s="1" t="s">
        <v>408</v>
      </c>
    </row>
    <row r="218" ht="12.75">
      <c r="A218" t="s">
        <v>409</v>
      </c>
    </row>
    <row r="219" ht="12.75">
      <c r="A219" t="s">
        <v>410</v>
      </c>
    </row>
    <row r="220" ht="12.75">
      <c r="A220" t="s">
        <v>411</v>
      </c>
    </row>
    <row r="221" ht="12.75">
      <c r="A221" t="s">
        <v>412</v>
      </c>
    </row>
    <row r="222" ht="12.75">
      <c r="A222" t="s">
        <v>413</v>
      </c>
    </row>
    <row r="224" ht="12.75">
      <c r="A224" s="1" t="s">
        <v>414</v>
      </c>
    </row>
    <row r="226" spans="1:5" ht="12.75">
      <c r="A226" t="s">
        <v>228</v>
      </c>
      <c r="D226" s="74">
        <f>Invoerblad!C83</f>
        <v>0</v>
      </c>
      <c r="E226" t="s">
        <v>28</v>
      </c>
    </row>
    <row r="228" spans="1:7" ht="12.75">
      <c r="A228" t="s">
        <v>229</v>
      </c>
      <c r="D228" s="8">
        <f>Invoerblad!C85</f>
        <v>0</v>
      </c>
      <c r="E228" t="s">
        <v>28</v>
      </c>
      <c r="G228" s="8"/>
    </row>
    <row r="230" spans="1:9" ht="12.75">
      <c r="A230" t="s">
        <v>230</v>
      </c>
      <c r="E230" s="74">
        <f>D226-D228</f>
        <v>0</v>
      </c>
      <c r="F230" t="s">
        <v>28</v>
      </c>
      <c r="I230" s="8" t="s">
        <v>439</v>
      </c>
    </row>
    <row r="232" spans="1:4" ht="12.75">
      <c r="A232" t="s">
        <v>231</v>
      </c>
      <c r="C232" s="8">
        <f>Invoerblad!G91</f>
        <v>0</v>
      </c>
      <c r="D232" t="s">
        <v>50</v>
      </c>
    </row>
    <row r="234" spans="1:6" ht="12.75">
      <c r="A234" t="s">
        <v>232</v>
      </c>
      <c r="E234" s="10">
        <f>C232*E230</f>
        <v>0</v>
      </c>
      <c r="F234" t="s">
        <v>37</v>
      </c>
    </row>
    <row r="236" spans="1:7" ht="12.75">
      <c r="A236" t="s">
        <v>233</v>
      </c>
      <c r="F236" s="10">
        <f>E234*0.67</f>
        <v>0</v>
      </c>
      <c r="G236" t="s">
        <v>37</v>
      </c>
    </row>
    <row r="238" spans="1:7" ht="12.75">
      <c r="A238" t="s">
        <v>234</v>
      </c>
      <c r="F238" s="10">
        <f>IF(D226=0,0,D226-2)</f>
        <v>0</v>
      </c>
      <c r="G238" t="s">
        <v>37</v>
      </c>
    </row>
    <row r="240" spans="1:7" ht="12.75">
      <c r="A240" t="s">
        <v>235</v>
      </c>
      <c r="F240" s="10">
        <f>IF(F238=0,0,(E234/F238))</f>
        <v>0</v>
      </c>
      <c r="G240" t="s">
        <v>50</v>
      </c>
    </row>
    <row r="242" spans="1:5" ht="12.75">
      <c r="A242" t="s">
        <v>236</v>
      </c>
      <c r="D242" s="10">
        <f>C232-F240</f>
        <v>0</v>
      </c>
      <c r="E242" t="s">
        <v>50</v>
      </c>
    </row>
    <row r="246" ht="12.75">
      <c r="A246" s="1" t="s">
        <v>74</v>
      </c>
    </row>
    <row r="247" spans="1:6" ht="12.75">
      <c r="A247" t="s">
        <v>10</v>
      </c>
      <c r="B247" s="28"/>
      <c r="F247" s="86">
        <f>Invoerblad!F143</f>
        <v>0</v>
      </c>
    </row>
    <row r="248" spans="2:7" ht="12.75">
      <c r="B248" s="1" t="s">
        <v>355</v>
      </c>
      <c r="F248" s="48">
        <f>Invoerblad!F144</f>
        <v>0</v>
      </c>
      <c r="G248" t="s">
        <v>37</v>
      </c>
    </row>
    <row r="249" spans="2:7" ht="12.75">
      <c r="B249" s="111" t="s">
        <v>359</v>
      </c>
      <c r="C249" s="111"/>
      <c r="D249" s="111"/>
      <c r="F249" s="118">
        <f>Invoerblad!F145</f>
        <v>0</v>
      </c>
      <c r="G249" t="s">
        <v>78</v>
      </c>
    </row>
    <row r="250" ht="12.75">
      <c r="B250" s="49" t="s">
        <v>443</v>
      </c>
    </row>
    <row r="253" spans="1:9" ht="12.75">
      <c r="A253" s="122" t="s">
        <v>415</v>
      </c>
      <c r="B253" s="58"/>
      <c r="C253" s="58"/>
      <c r="D253" s="58"/>
      <c r="E253" s="58"/>
      <c r="F253" s="58"/>
      <c r="G253" s="58"/>
      <c r="H253" s="58"/>
      <c r="I253" s="58"/>
    </row>
    <row r="254" spans="1:9" ht="12.75">
      <c r="A254" s="58"/>
      <c r="B254" s="58"/>
      <c r="C254" s="58"/>
      <c r="D254" s="58"/>
      <c r="E254" s="58"/>
      <c r="F254" s="58"/>
      <c r="G254" s="122" t="s">
        <v>416</v>
      </c>
      <c r="H254" s="58"/>
      <c r="I254" s="58"/>
    </row>
    <row r="256" spans="1:4" ht="12.75">
      <c r="A256" t="s">
        <v>64</v>
      </c>
      <c r="C256" s="74">
        <f>Invoerblad!C83</f>
        <v>0</v>
      </c>
      <c r="D256" t="s">
        <v>37</v>
      </c>
    </row>
    <row r="258" spans="1:5" ht="12.75">
      <c r="A258" t="s">
        <v>65</v>
      </c>
      <c r="C258" s="8">
        <f>Invoerblad!C85</f>
        <v>0</v>
      </c>
      <c r="D258" t="s">
        <v>37</v>
      </c>
      <c r="E258" t="s">
        <v>417</v>
      </c>
    </row>
    <row r="259" ht="12.75">
      <c r="E259" t="s">
        <v>418</v>
      </c>
    </row>
    <row r="260" ht="12.75" customHeight="1"/>
    <row r="261" spans="1:5" ht="12.75">
      <c r="A261" t="s">
        <v>419</v>
      </c>
      <c r="D261" s="8">
        <f>IF(C258=0,0,IF(C256&lt;12.5,0,IF(C258=10,VLOOKUP(C256,Opzoekingstabellen!A150:F175,2),IF(C258=9,VLOOKUP(C256,Opzoekingstabellen!A150:F175,3),IF(C258=8,VLOOKUP(C256,Opzoekingstabellen!A150:F175,4),IF(C258=7,VLOOKUP(C256,Opzoekingstabellen!A150:F175,5),IF(C258=6,VLOOKUP(C256,Opzoekingstabellen!A150:F175,6)))))))*C203/100)</f>
        <v>0</v>
      </c>
      <c r="E261" t="s">
        <v>420</v>
      </c>
    </row>
    <row r="263" spans="1:5" ht="12.75">
      <c r="A263" t="s">
        <v>421</v>
      </c>
      <c r="D263" s="8">
        <f>IF(C258=0,0,IF(C256&lt;12.5,0,IF(C258=10,VLOOKUP(C256,Opzoekingstabellen!A182:F207,2),IF(C258=9,VLOOKUP(C256,Opzoekingstabellen!A182:F207,3),IF(C258=8,VLOOKUP(C256,Opzoekingstabellen!A182:F207,4),IF(C258=7,VLOOKUP(C256,Opzoekingstabellen!A182:F207,5),IF(C258=6,VLOOKUP(C256,Opzoekingstabellen!A182:F207,6))))))))*C203/100</f>
        <v>0</v>
      </c>
      <c r="E263" t="s">
        <v>422</v>
      </c>
    </row>
    <row r="265" ht="12.75">
      <c r="A265" t="s">
        <v>423</v>
      </c>
    </row>
    <row r="266" ht="12.75">
      <c r="A266" t="s">
        <v>424</v>
      </c>
    </row>
    <row r="269" ht="12.75">
      <c r="A269" s="1" t="s">
        <v>360</v>
      </c>
    </row>
    <row r="271" spans="1:6" ht="12.75">
      <c r="A271" s="1" t="s">
        <v>76</v>
      </c>
      <c r="B271" t="s">
        <v>77</v>
      </c>
      <c r="D271" t="s">
        <v>10</v>
      </c>
      <c r="E271" s="28"/>
      <c r="F271" s="86">
        <f>Invoerblad!F150</f>
        <v>0</v>
      </c>
    </row>
    <row r="272" spans="2:7" ht="12.75">
      <c r="B272" s="1" t="s">
        <v>355</v>
      </c>
      <c r="F272" s="118">
        <f>Invoerblad!F151</f>
        <v>0</v>
      </c>
      <c r="G272" t="s">
        <v>37</v>
      </c>
    </row>
    <row r="273" ht="12.75">
      <c r="B273" s="49" t="s">
        <v>443</v>
      </c>
    </row>
    <row r="275" spans="1:4" ht="12.75">
      <c r="A275" s="123" t="s">
        <v>425</v>
      </c>
      <c r="B275" s="124"/>
      <c r="C275" s="124"/>
      <c r="D275" s="124"/>
    </row>
    <row r="277" ht="12.75">
      <c r="A277" t="s">
        <v>426</v>
      </c>
    </row>
    <row r="278" ht="12.75">
      <c r="A278" t="s">
        <v>427</v>
      </c>
    </row>
    <row r="280" ht="12.75">
      <c r="A280" s="72" t="s">
        <v>428</v>
      </c>
    </row>
    <row r="282" ht="12.75">
      <c r="A282" s="72" t="s">
        <v>429</v>
      </c>
    </row>
    <row r="284" ht="12.75">
      <c r="A284" t="s">
        <v>430</v>
      </c>
    </row>
    <row r="285" ht="12.75">
      <c r="A285" t="s">
        <v>431</v>
      </c>
    </row>
    <row r="286" ht="12.75">
      <c r="A286" t="s">
        <v>432</v>
      </c>
    </row>
    <row r="287" ht="12.75">
      <c r="A287" t="s">
        <v>433</v>
      </c>
    </row>
    <row r="288" ht="12.75">
      <c r="I288" s="8" t="s">
        <v>440</v>
      </c>
    </row>
    <row r="290" spans="1:6" ht="12.75">
      <c r="A290" s="1" t="s">
        <v>434</v>
      </c>
      <c r="E290" s="8">
        <f>Invoerblad!G91</f>
        <v>0</v>
      </c>
      <c r="F290" t="s">
        <v>50</v>
      </c>
    </row>
    <row r="292" spans="1:5" ht="12.75">
      <c r="A292" s="1" t="s">
        <v>435</v>
      </c>
      <c r="D292" s="8">
        <f>IF(E290=0,0,(E290*0.67))</f>
        <v>0</v>
      </c>
      <c r="E292" t="s">
        <v>37</v>
      </c>
    </row>
    <row r="295" ht="12.75">
      <c r="A295" s="63" t="s">
        <v>298</v>
      </c>
    </row>
    <row r="297" spans="1:8" ht="12.75">
      <c r="A297" t="s">
        <v>299</v>
      </c>
      <c r="C297" s="87" t="b">
        <f>C103</f>
        <v>0</v>
      </c>
      <c r="G297" s="86" t="b">
        <f>IF(C297=0,0,IF(E299&gt;C301,(E299-C301),IF(C301&gt;E299,(C301-E299))))</f>
        <v>0</v>
      </c>
      <c r="H297" t="s">
        <v>50</v>
      </c>
    </row>
    <row r="299" ht="12.75">
      <c r="E299" s="88">
        <f>C101</f>
        <v>0</v>
      </c>
    </row>
    <row r="301" spans="1:8" ht="12.75">
      <c r="A301" t="s">
        <v>300</v>
      </c>
      <c r="C301" s="86"/>
      <c r="G301" s="87" t="b">
        <f>IF(C297=0,0,IF(C297=E299,0))</f>
        <v>0</v>
      </c>
      <c r="H301" t="s">
        <v>50</v>
      </c>
    </row>
    <row r="303" spans="1:7" ht="12.75">
      <c r="A303" s="1" t="s">
        <v>301</v>
      </c>
      <c r="F303" s="10">
        <f>D97</f>
        <v>0</v>
      </c>
      <c r="G303" t="s">
        <v>26</v>
      </c>
    </row>
    <row r="306" spans="5:7" ht="12.75">
      <c r="E306" s="8" t="s">
        <v>302</v>
      </c>
      <c r="F306" s="89">
        <f>IF(C297=0,0,IF(C297&gt;10,-30,IF(C297&gt;6,-25,IF(C297&lt;=6,-20))))</f>
        <v>-30</v>
      </c>
      <c r="G306" t="s">
        <v>303</v>
      </c>
    </row>
    <row r="307" spans="6:7" ht="12.75">
      <c r="F307" s="10">
        <f>F306+F303</f>
        <v>-30</v>
      </c>
      <c r="G307" t="s">
        <v>304</v>
      </c>
    </row>
    <row r="310" ht="12.75">
      <c r="A310" s="38" t="s">
        <v>305</v>
      </c>
    </row>
    <row r="312" spans="1:7" ht="12.75">
      <c r="A312" s="73" t="b">
        <f>G297</f>
        <v>0</v>
      </c>
      <c r="B312" t="s">
        <v>306</v>
      </c>
      <c r="C312" s="10" t="b">
        <f>G301</f>
        <v>0</v>
      </c>
      <c r="D312" t="s">
        <v>307</v>
      </c>
      <c r="F312" s="166" t="s">
        <v>308</v>
      </c>
      <c r="G312" s="90" t="b">
        <f>G301</f>
        <v>0</v>
      </c>
    </row>
    <row r="313" spans="6:7" ht="12.75">
      <c r="F313" s="166"/>
      <c r="G313" s="73" t="b">
        <f>G297</f>
        <v>0</v>
      </c>
    </row>
    <row r="314" spans="1:9" ht="12.75">
      <c r="A314" s="179">
        <f>IF(F158&gt;F209,F158,F209)</f>
        <v>0</v>
      </c>
      <c r="B314" s="179" t="s">
        <v>309</v>
      </c>
      <c r="C314" s="89">
        <f>A314</f>
        <v>0</v>
      </c>
      <c r="D314" s="89" t="s">
        <v>310</v>
      </c>
      <c r="E314" s="90" t="b">
        <f>G312</f>
        <v>0</v>
      </c>
      <c r="F314" s="166" t="s">
        <v>311</v>
      </c>
      <c r="G314" s="180" t="e">
        <f>IF(C297=0,0,IF(E299=C297,0,(C314*E314)/D315))</f>
        <v>#DIV/0!</v>
      </c>
      <c r="H314" s="166" t="s">
        <v>307</v>
      </c>
      <c r="I314" s="166"/>
    </row>
    <row r="315" spans="1:9" ht="12.75">
      <c r="A315" s="179"/>
      <c r="B315" s="179"/>
      <c r="D315" s="73" t="b">
        <f>G313</f>
        <v>0</v>
      </c>
      <c r="F315" s="166"/>
      <c r="G315" s="180"/>
      <c r="H315" s="166"/>
      <c r="I315" s="166"/>
    </row>
    <row r="316" spans="1:9" ht="12.75">
      <c r="A316" s="1" t="s">
        <v>312</v>
      </c>
      <c r="C316" s="8">
        <f>A314</f>
        <v>0</v>
      </c>
      <c r="D316" t="s">
        <v>313</v>
      </c>
      <c r="E316" s="10" t="e">
        <f>G314</f>
        <v>#DIV/0!</v>
      </c>
      <c r="F316" t="s">
        <v>314</v>
      </c>
      <c r="H316" s="3" t="e">
        <f>C316+E316</f>
        <v>#DIV/0!</v>
      </c>
      <c r="I316" t="s">
        <v>315</v>
      </c>
    </row>
    <row r="317" ht="12.75">
      <c r="A317" s="38" t="s">
        <v>225</v>
      </c>
    </row>
    <row r="319" spans="1:5" ht="12.75">
      <c r="A319" s="8">
        <f>D106</f>
        <v>0</v>
      </c>
      <c r="B319" t="s">
        <v>316</v>
      </c>
      <c r="D319" s="8">
        <f>A319*18</f>
        <v>0</v>
      </c>
      <c r="E319" t="s">
        <v>26</v>
      </c>
    </row>
    <row r="324" spans="1:4" ht="12.75">
      <c r="A324" s="1" t="s">
        <v>317</v>
      </c>
      <c r="C324" s="8">
        <f>D319</f>
        <v>0</v>
      </c>
      <c r="D324" t="s">
        <v>26</v>
      </c>
    </row>
    <row r="325" spans="2:4" ht="12.75">
      <c r="B325" s="8" t="s">
        <v>310</v>
      </c>
      <c r="C325" s="90" t="e">
        <f>H316</f>
        <v>#DIV/0!</v>
      </c>
      <c r="D325" t="s">
        <v>50</v>
      </c>
    </row>
    <row r="326" spans="1:4" ht="12.75">
      <c r="A326" s="1" t="s">
        <v>318</v>
      </c>
      <c r="C326" s="10" t="e">
        <f>(C324*C325)/1000</f>
        <v>#DIV/0!</v>
      </c>
      <c r="D326" t="s">
        <v>319</v>
      </c>
    </row>
    <row r="328" spans="1:4" ht="12.75">
      <c r="A328" s="1" t="s">
        <v>320</v>
      </c>
      <c r="C328" s="74">
        <f>F307</f>
        <v>-30</v>
      </c>
      <c r="D328" t="s">
        <v>26</v>
      </c>
    </row>
    <row r="329" spans="2:4" ht="12.75">
      <c r="B329" s="8" t="s">
        <v>310</v>
      </c>
      <c r="C329" s="89">
        <f>A314</f>
        <v>0</v>
      </c>
      <c r="D329" t="s">
        <v>50</v>
      </c>
    </row>
    <row r="330" spans="1:4" ht="12.75">
      <c r="A330" s="1" t="s">
        <v>318</v>
      </c>
      <c r="C330" s="10">
        <f>(C328*C329)/1000</f>
        <v>0</v>
      </c>
      <c r="D330" t="s">
        <v>319</v>
      </c>
    </row>
    <row r="332" ht="12.75">
      <c r="A332" s="1" t="s">
        <v>321</v>
      </c>
    </row>
    <row r="333" spans="3:4" ht="12.75">
      <c r="C333" s="10" t="e">
        <f>C326</f>
        <v>#DIV/0!</v>
      </c>
      <c r="D333" t="s">
        <v>322</v>
      </c>
    </row>
    <row r="334" spans="2:4" ht="12.75">
      <c r="B334" s="8" t="s">
        <v>302</v>
      </c>
      <c r="C334" s="90">
        <f>C330</f>
        <v>0</v>
      </c>
      <c r="D334" t="s">
        <v>323</v>
      </c>
    </row>
    <row r="335" spans="1:4" ht="12.75">
      <c r="A335" s="1" t="s">
        <v>318</v>
      </c>
      <c r="C335" s="10" t="e">
        <f>C333-C334</f>
        <v>#DIV/0!</v>
      </c>
      <c r="D335" t="s">
        <v>324</v>
      </c>
    </row>
    <row r="337" ht="12.75">
      <c r="A337" s="72" t="s">
        <v>325</v>
      </c>
    </row>
    <row r="339" ht="12.75">
      <c r="A339" s="1" t="s">
        <v>326</v>
      </c>
    </row>
    <row r="341" spans="4:5" ht="12.75">
      <c r="D341" s="10" t="e">
        <f>G314</f>
        <v>#DIV/0!</v>
      </c>
      <c r="E341" t="s">
        <v>50</v>
      </c>
    </row>
    <row r="342" spans="1:5" ht="12.75">
      <c r="A342" s="8" t="s">
        <v>302</v>
      </c>
      <c r="B342" s="10" t="e">
        <f>C335</f>
        <v>#DIV/0!</v>
      </c>
      <c r="C342" s="8" t="s">
        <v>327</v>
      </c>
      <c r="D342" s="90" t="e">
        <f>B342*0.6</f>
        <v>#DIV/0!</v>
      </c>
      <c r="E342" t="s">
        <v>328</v>
      </c>
    </row>
    <row r="344" spans="3:5" ht="12.75">
      <c r="C344" s="1" t="s">
        <v>318</v>
      </c>
      <c r="D344" s="10" t="e">
        <f>D341-D342</f>
        <v>#DIV/0!</v>
      </c>
      <c r="E344" t="s">
        <v>329</v>
      </c>
    </row>
    <row r="345" ht="13.5" thickBot="1"/>
    <row r="346" spans="1:9" ht="12.75">
      <c r="A346" s="189" t="s">
        <v>456</v>
      </c>
      <c r="B346" s="190"/>
      <c r="C346" s="190"/>
      <c r="D346" s="190"/>
      <c r="E346" s="190"/>
      <c r="F346" s="190"/>
      <c r="G346" s="190"/>
      <c r="H346" s="190"/>
      <c r="I346" s="191"/>
    </row>
    <row r="347" spans="1:9" ht="13.5" thickBot="1">
      <c r="A347" s="192"/>
      <c r="B347" s="193"/>
      <c r="C347" s="193"/>
      <c r="D347" s="193"/>
      <c r="E347" s="193"/>
      <c r="F347" s="193"/>
      <c r="G347" s="193"/>
      <c r="H347" s="193"/>
      <c r="I347" s="194"/>
    </row>
    <row r="348" spans="1:9" ht="12.75">
      <c r="A348" t="s">
        <v>442</v>
      </c>
      <c r="I348" s="8" t="s">
        <v>458</v>
      </c>
    </row>
    <row r="351" spans="1:6" ht="12.75">
      <c r="A351" s="91" t="s">
        <v>137</v>
      </c>
      <c r="B351" s="178" t="s">
        <v>331</v>
      </c>
      <c r="C351" s="176"/>
      <c r="D351" s="177"/>
      <c r="E351" s="79" t="s">
        <v>332</v>
      </c>
      <c r="F351" s="13"/>
    </row>
    <row r="352" spans="1:6" ht="12.75">
      <c r="A352" s="92">
        <f>Invoerblad!B224</f>
        <v>0</v>
      </c>
      <c r="B352" s="178" t="s">
        <v>333</v>
      </c>
      <c r="C352" s="176"/>
      <c r="D352" s="177"/>
      <c r="E352" s="93" t="e">
        <f>$C$335/3</f>
        <v>#DIV/0!</v>
      </c>
      <c r="F352" s="94" t="s">
        <v>49</v>
      </c>
    </row>
    <row r="353" spans="1:6" ht="12.75">
      <c r="A353" s="92">
        <f>Invoerblad!B225</f>
        <v>0</v>
      </c>
      <c r="B353" s="178" t="s">
        <v>334</v>
      </c>
      <c r="C353" s="176"/>
      <c r="D353" s="177"/>
      <c r="E353" s="93" t="e">
        <f>$C$335/3</f>
        <v>#DIV/0!</v>
      </c>
      <c r="F353" s="13" t="s">
        <v>49</v>
      </c>
    </row>
    <row r="354" spans="1:8" ht="12.75">
      <c r="A354" s="95">
        <f>Invoerblad!B226</f>
        <v>0</v>
      </c>
      <c r="B354" s="178" t="s">
        <v>335</v>
      </c>
      <c r="C354" s="176"/>
      <c r="D354" s="177"/>
      <c r="E354" s="87" t="e">
        <f>$C$335/3</f>
        <v>#DIV/0!</v>
      </c>
      <c r="F354" s="68" t="s">
        <v>49</v>
      </c>
      <c r="H354" s="8"/>
    </row>
    <row r="356" ht="12.75">
      <c r="H356" s="52"/>
    </row>
    <row r="357" ht="12.75">
      <c r="A357" s="46" t="s">
        <v>341</v>
      </c>
    </row>
    <row r="360" spans="2:9" ht="12.75">
      <c r="B360" s="97" t="s">
        <v>137</v>
      </c>
      <c r="C360" s="98" t="s">
        <v>138</v>
      </c>
      <c r="D360" s="99" t="s">
        <v>95</v>
      </c>
      <c r="E360" s="98" t="s">
        <v>139</v>
      </c>
      <c r="F360" s="178" t="s">
        <v>140</v>
      </c>
      <c r="G360" s="177"/>
      <c r="H360" s="178" t="s">
        <v>342</v>
      </c>
      <c r="I360" s="177"/>
    </row>
    <row r="361" spans="2:9" ht="12.75">
      <c r="B361" s="95">
        <f>Invoerblad!B237</f>
        <v>0</v>
      </c>
      <c r="C361" s="91">
        <f>Invoerblad!C237</f>
        <v>0</v>
      </c>
      <c r="D361" s="100">
        <f>Invoerblad!D237</f>
        <v>0</v>
      </c>
      <c r="E361" s="91">
        <f>Invoerblad!E237</f>
        <v>0</v>
      </c>
      <c r="F361" s="8">
        <f>Invoerblad!F237</f>
        <v>0</v>
      </c>
      <c r="G361" s="20" t="s">
        <v>50</v>
      </c>
      <c r="H361" s="84">
        <f>Invoerblad!H237</f>
        <v>0</v>
      </c>
      <c r="I361" s="17" t="s">
        <v>37</v>
      </c>
    </row>
    <row r="362" spans="2:9" ht="12.75">
      <c r="B362" s="95">
        <f>Invoerblad!B238</f>
        <v>0</v>
      </c>
      <c r="C362" s="88">
        <f>Invoerblad!C238</f>
        <v>0</v>
      </c>
      <c r="D362" s="12">
        <f>Invoerblad!D238</f>
        <v>0</v>
      </c>
      <c r="E362" s="88">
        <f>Invoerblad!E238</f>
        <v>0</v>
      </c>
      <c r="F362" s="79">
        <f>Invoerblad!F238</f>
        <v>0</v>
      </c>
      <c r="G362" s="81" t="s">
        <v>50</v>
      </c>
      <c r="H362" s="79">
        <f>Invoerblad!H238</f>
        <v>0</v>
      </c>
      <c r="I362" s="81" t="s">
        <v>37</v>
      </c>
    </row>
    <row r="363" spans="2:9" ht="12.75">
      <c r="B363" s="95">
        <f>Invoerblad!B239</f>
        <v>0</v>
      </c>
      <c r="C363" s="88">
        <f>Invoerblad!C239</f>
        <v>0</v>
      </c>
      <c r="D363" s="12">
        <f>Invoerblad!D239</f>
        <v>0</v>
      </c>
      <c r="E363" s="88">
        <f>Invoerblad!E239</f>
        <v>0</v>
      </c>
      <c r="F363" s="83">
        <f>Invoerblad!F239</f>
        <v>0</v>
      </c>
      <c r="G363" s="20" t="s">
        <v>50</v>
      </c>
      <c r="H363" s="79">
        <f>Invoerblad!H239</f>
        <v>0</v>
      </c>
      <c r="I363" s="81" t="s">
        <v>37</v>
      </c>
    </row>
    <row r="364" spans="2:9" ht="12.75">
      <c r="B364" s="95">
        <f>Invoerblad!B240</f>
        <v>0</v>
      </c>
      <c r="C364" s="101">
        <f>Invoerblad!C240</f>
        <v>0</v>
      </c>
      <c r="D364" s="89">
        <f>Invoerblad!D240</f>
        <v>0</v>
      </c>
      <c r="E364" s="101">
        <f>Invoerblad!E240</f>
        <v>0</v>
      </c>
      <c r="F364" s="79">
        <f>Invoerblad!F240</f>
        <v>0</v>
      </c>
      <c r="G364" s="81" t="s">
        <v>50</v>
      </c>
      <c r="H364" s="85">
        <f>Invoerblad!H240</f>
        <v>0</v>
      </c>
      <c r="I364" s="25" t="s">
        <v>37</v>
      </c>
    </row>
    <row r="365" spans="2:9" ht="12.75">
      <c r="B365" s="95">
        <f>Invoerblad!B241</f>
        <v>0</v>
      </c>
      <c r="C365" s="101">
        <f>Invoerblad!C241</f>
        <v>0</v>
      </c>
      <c r="D365" s="89">
        <f>Invoerblad!D241</f>
        <v>0</v>
      </c>
      <c r="E365" s="101">
        <f>Invoerblad!E241</f>
        <v>0</v>
      </c>
      <c r="F365" s="79">
        <f>Invoerblad!F241</f>
        <v>0</v>
      </c>
      <c r="G365" s="81" t="s">
        <v>50</v>
      </c>
      <c r="H365" s="85">
        <f>Invoerblad!H241</f>
        <v>0</v>
      </c>
      <c r="I365" s="25" t="s">
        <v>37</v>
      </c>
    </row>
    <row r="367" spans="3:7" ht="12.75">
      <c r="C367" s="8"/>
      <c r="E367" s="8"/>
      <c r="G367" s="8"/>
    </row>
    <row r="368" spans="1:4" ht="12.75">
      <c r="A368" s="46" t="s">
        <v>444</v>
      </c>
      <c r="D368" s="8"/>
    </row>
    <row r="370" spans="1:6" ht="12.75">
      <c r="A370" s="1" t="s">
        <v>143</v>
      </c>
      <c r="D370" t="s">
        <v>10</v>
      </c>
      <c r="E370" s="69">
        <f>Invoerblad!E246</f>
        <v>0</v>
      </c>
      <c r="F370" s="71"/>
    </row>
    <row r="371" spans="1:5" ht="12.75">
      <c r="A371" s="1" t="s">
        <v>144</v>
      </c>
      <c r="D371" t="s">
        <v>10</v>
      </c>
      <c r="E371" s="69">
        <f>Invoerblad!E247</f>
        <v>0</v>
      </c>
    </row>
    <row r="372" spans="1:5" ht="12.75">
      <c r="A372" t="s">
        <v>145</v>
      </c>
      <c r="D372" s="8">
        <f>Invoerblad!D248</f>
        <v>0</v>
      </c>
      <c r="E372" t="s">
        <v>146</v>
      </c>
    </row>
    <row r="373" spans="1:7" ht="12.75">
      <c r="A373" t="s">
        <v>147</v>
      </c>
      <c r="D373" s="8">
        <f>Invoerblad!D249</f>
        <v>0</v>
      </c>
      <c r="E373" t="s">
        <v>146</v>
      </c>
      <c r="G373" s="8"/>
    </row>
    <row r="374" spans="1:5" ht="12.75">
      <c r="A374" s="1" t="s">
        <v>148</v>
      </c>
      <c r="D374" t="s">
        <v>10</v>
      </c>
      <c r="E374" s="69">
        <f>Invoerblad!E250</f>
        <v>0</v>
      </c>
    </row>
    <row r="375" spans="1:5" ht="12.75">
      <c r="A375" t="s">
        <v>149</v>
      </c>
      <c r="D375" s="8">
        <f>Invoerblad!D251</f>
        <v>0</v>
      </c>
      <c r="E375" t="s">
        <v>146</v>
      </c>
    </row>
    <row r="376" spans="1:5" ht="12.75">
      <c r="A376" t="s">
        <v>147</v>
      </c>
      <c r="D376" s="8">
        <f>Invoerblad!D252</f>
        <v>0</v>
      </c>
      <c r="E376" t="s">
        <v>146</v>
      </c>
    </row>
    <row r="377" spans="1:5" ht="12.75">
      <c r="A377" s="1" t="s">
        <v>150</v>
      </c>
      <c r="B377" s="1"/>
      <c r="D377" t="s">
        <v>10</v>
      </c>
      <c r="E377" s="69">
        <f>Invoerblad!E253</f>
        <v>0</v>
      </c>
    </row>
    <row r="378" spans="1:6" ht="12.75">
      <c r="A378" t="s">
        <v>151</v>
      </c>
      <c r="D378" s="8">
        <f>Invoerblad!D254</f>
        <v>0</v>
      </c>
      <c r="E378" t="s">
        <v>37</v>
      </c>
      <c r="F378" s="69"/>
    </row>
    <row r="379" spans="1:6" ht="12.75">
      <c r="A379" s="1" t="s">
        <v>152</v>
      </c>
      <c r="B379" s="1"/>
      <c r="D379" t="s">
        <v>10</v>
      </c>
      <c r="E379" s="69">
        <f>Invoerblad!E255</f>
        <v>0</v>
      </c>
      <c r="F379" s="8"/>
    </row>
    <row r="380" spans="1:5" ht="12.75">
      <c r="A380" t="s">
        <v>153</v>
      </c>
      <c r="D380" s="8">
        <f>Invoerblad!D256</f>
        <v>0</v>
      </c>
      <c r="E380" t="s">
        <v>154</v>
      </c>
    </row>
    <row r="381" spans="1:5" ht="12.75">
      <c r="A381" s="1" t="s">
        <v>155</v>
      </c>
      <c r="B381" s="1"/>
      <c r="D381" t="s">
        <v>10</v>
      </c>
      <c r="E381" s="69">
        <f>Invoerblad!E257</f>
        <v>0</v>
      </c>
    </row>
    <row r="382" spans="1:5" ht="12.75">
      <c r="A382" t="s">
        <v>73</v>
      </c>
      <c r="D382" s="8">
        <f>Invoerblad!D258</f>
        <v>0</v>
      </c>
      <c r="E382" s="69" t="s">
        <v>156</v>
      </c>
    </row>
    <row r="383" spans="1:5" ht="12.75">
      <c r="A383" s="1" t="s">
        <v>157</v>
      </c>
      <c r="B383" s="1"/>
      <c r="D383" t="s">
        <v>10</v>
      </c>
      <c r="E383" s="69">
        <f>Invoerblad!E259</f>
        <v>0</v>
      </c>
    </row>
    <row r="384" spans="1:5" ht="12.75">
      <c r="A384" t="s">
        <v>158</v>
      </c>
      <c r="D384" s="8">
        <f>Invoerblad!D260</f>
        <v>0</v>
      </c>
      <c r="E384" t="s">
        <v>37</v>
      </c>
    </row>
    <row r="387" ht="12.75">
      <c r="A387" s="63" t="s">
        <v>159</v>
      </c>
    </row>
    <row r="389" spans="1:7" ht="12.75">
      <c r="A389" t="s">
        <v>10</v>
      </c>
      <c r="B389" s="69">
        <f>Invoerblad!B265</f>
        <v>0</v>
      </c>
      <c r="D389" s="8">
        <f>Invoerblad!D265</f>
        <v>0</v>
      </c>
      <c r="E389" t="s">
        <v>160</v>
      </c>
      <c r="F389" t="s">
        <v>161</v>
      </c>
      <c r="G389" s="8">
        <f>Invoerblad!G265</f>
        <v>0</v>
      </c>
    </row>
    <row r="390" spans="1:7" ht="12.75">
      <c r="A390" t="s">
        <v>10</v>
      </c>
      <c r="B390" s="69">
        <f>Invoerblad!B266</f>
        <v>0</v>
      </c>
      <c r="D390" s="8">
        <f>Invoerblad!D266</f>
        <v>0</v>
      </c>
      <c r="E390" t="s">
        <v>160</v>
      </c>
      <c r="F390" t="s">
        <v>161</v>
      </c>
      <c r="G390" s="8">
        <f>Invoerblad!G266</f>
        <v>0</v>
      </c>
    </row>
    <row r="391" spans="1:7" ht="12.75">
      <c r="A391" t="s">
        <v>10</v>
      </c>
      <c r="B391" s="69">
        <f>Invoerblad!B267</f>
        <v>0</v>
      </c>
      <c r="D391" s="8">
        <f>Invoerblad!D267</f>
        <v>0</v>
      </c>
      <c r="E391" t="s">
        <v>160</v>
      </c>
      <c r="F391" t="s">
        <v>161</v>
      </c>
      <c r="G391" s="8">
        <f>Invoerblad!G267</f>
        <v>0</v>
      </c>
    </row>
    <row r="393" ht="12.75">
      <c r="A393" s="63" t="s">
        <v>162</v>
      </c>
    </row>
    <row r="395" spans="1:5" ht="12.75">
      <c r="A395" t="s">
        <v>10</v>
      </c>
      <c r="B395" s="69">
        <f>Invoerblad!B272</f>
        <v>0</v>
      </c>
      <c r="D395" s="8">
        <f>Invoerblad!D272</f>
        <v>0</v>
      </c>
      <c r="E395" t="s">
        <v>163</v>
      </c>
    </row>
    <row r="396" spans="1:5" ht="12.75">
      <c r="A396" t="s">
        <v>10</v>
      </c>
      <c r="B396" s="69">
        <f>Invoerblad!B273</f>
        <v>0</v>
      </c>
      <c r="D396" s="8">
        <f>Invoerblad!D273</f>
        <v>0</v>
      </c>
      <c r="E396" t="s">
        <v>163</v>
      </c>
    </row>
    <row r="397" spans="1:5" ht="12.75">
      <c r="A397" t="s">
        <v>10</v>
      </c>
      <c r="B397" s="69">
        <f>Invoerblad!B274</f>
        <v>0</v>
      </c>
      <c r="D397" s="8">
        <f>Invoerblad!D274</f>
        <v>0</v>
      </c>
      <c r="E397" t="s">
        <v>163</v>
      </c>
    </row>
    <row r="398" spans="1:5" ht="12.75">
      <c r="A398" t="s">
        <v>10</v>
      </c>
      <c r="B398" s="69">
        <f>Invoerblad!B275</f>
        <v>0</v>
      </c>
      <c r="D398" s="8">
        <f>Invoerblad!D275</f>
        <v>0</v>
      </c>
      <c r="E398" t="s">
        <v>163</v>
      </c>
    </row>
    <row r="399" spans="1:5" ht="12.75">
      <c r="A399" t="s">
        <v>10</v>
      </c>
      <c r="B399" s="69">
        <f>Invoerblad!B276</f>
        <v>0</v>
      </c>
      <c r="D399" s="8">
        <f>Invoerblad!D276</f>
        <v>0</v>
      </c>
      <c r="E399" t="s">
        <v>163</v>
      </c>
    </row>
    <row r="404" spans="1:9" ht="12.75">
      <c r="A404" s="1" t="s">
        <v>169</v>
      </c>
      <c r="I404" s="8" t="s">
        <v>459</v>
      </c>
    </row>
    <row r="406" spans="1:7" ht="12.75">
      <c r="A406" t="s">
        <v>10</v>
      </c>
      <c r="B406" s="69">
        <f>Invoerblad!B287</f>
        <v>0</v>
      </c>
      <c r="D406" t="s">
        <v>170</v>
      </c>
      <c r="F406" s="8">
        <f>Invoerblad!F287</f>
        <v>0</v>
      </c>
      <c r="G406" t="s">
        <v>171</v>
      </c>
    </row>
    <row r="407" spans="1:7" ht="12.75">
      <c r="A407" t="s">
        <v>10</v>
      </c>
      <c r="B407" s="69">
        <f>Invoerblad!B288</f>
        <v>0</v>
      </c>
      <c r="D407" t="s">
        <v>170</v>
      </c>
      <c r="F407" s="8">
        <f>Invoerblad!F288</f>
        <v>0</v>
      </c>
      <c r="G407" t="s">
        <v>171</v>
      </c>
    </row>
    <row r="408" spans="1:7" ht="12.75">
      <c r="A408" t="s">
        <v>10</v>
      </c>
      <c r="B408" s="69">
        <f>Invoerblad!B289</f>
        <v>0</v>
      </c>
      <c r="D408" t="s">
        <v>170</v>
      </c>
      <c r="F408" s="8">
        <f>Invoerblad!F289</f>
        <v>0</v>
      </c>
      <c r="G408" t="s">
        <v>171</v>
      </c>
    </row>
    <row r="409" spans="1:7" ht="12.75">
      <c r="A409" t="s">
        <v>10</v>
      </c>
      <c r="B409" s="69">
        <f>Invoerblad!B290</f>
        <v>0</v>
      </c>
      <c r="D409" t="s">
        <v>170</v>
      </c>
      <c r="F409" s="8">
        <f>Invoerblad!F290</f>
        <v>0</v>
      </c>
      <c r="G409" t="s">
        <v>171</v>
      </c>
    </row>
    <row r="410" spans="1:7" ht="12.75">
      <c r="A410" t="s">
        <v>10</v>
      </c>
      <c r="B410" s="69">
        <f>Invoerblad!B291</f>
        <v>0</v>
      </c>
      <c r="D410" t="s">
        <v>170</v>
      </c>
      <c r="F410" s="8">
        <f>Invoerblad!F291</f>
        <v>0</v>
      </c>
      <c r="G410" t="s">
        <v>171</v>
      </c>
    </row>
    <row r="413" ht="12.75">
      <c r="A413" s="63" t="s">
        <v>164</v>
      </c>
    </row>
    <row r="415" spans="1:9" ht="12.75">
      <c r="A415" t="s">
        <v>165</v>
      </c>
      <c r="B415" s="8">
        <f>Invoerblad!B280</f>
        <v>0</v>
      </c>
      <c r="C415" t="s">
        <v>166</v>
      </c>
      <c r="F415" t="s">
        <v>92</v>
      </c>
      <c r="H415" s="8">
        <f>Invoerblad!H280</f>
        <v>0</v>
      </c>
      <c r="I415" t="s">
        <v>33</v>
      </c>
    </row>
    <row r="417" spans="1:8" ht="12.75">
      <c r="A417" t="s">
        <v>89</v>
      </c>
      <c r="C417" s="69">
        <f>Invoerblad!C282</f>
        <v>0</v>
      </c>
      <c r="D417" t="s">
        <v>343</v>
      </c>
      <c r="E417" s="69">
        <f>Invoerblad!F282</f>
        <v>0</v>
      </c>
      <c r="F417" t="s">
        <v>168</v>
      </c>
      <c r="G417" s="8">
        <f>Invoerblad!H282</f>
        <v>0</v>
      </c>
      <c r="H417" t="s">
        <v>127</v>
      </c>
    </row>
    <row r="420" ht="12.75">
      <c r="A420" s="72" t="s">
        <v>349</v>
      </c>
    </row>
    <row r="421" ht="12.75">
      <c r="A421" s="72" t="s">
        <v>350</v>
      </c>
    </row>
    <row r="423" spans="1:6" ht="12.75">
      <c r="A423" s="1" t="s">
        <v>344</v>
      </c>
      <c r="F423" s="69"/>
    </row>
    <row r="425" spans="1:8" ht="12.75">
      <c r="A425" t="s">
        <v>345</v>
      </c>
      <c r="C425" s="8">
        <f>IF(D365=0,0,IF(D365&lt;995,2.5,IF(D365&lt;1005,2.5,IF(D365&gt;1005,2.5))))</f>
        <v>0</v>
      </c>
      <c r="D425" t="s">
        <v>346</v>
      </c>
      <c r="E425" s="8">
        <f>F365</f>
        <v>0</v>
      </c>
      <c r="F425" s="8" t="s">
        <v>311</v>
      </c>
      <c r="G425" s="8">
        <f>(C425*E425)/10</f>
        <v>0</v>
      </c>
      <c r="H425" t="s">
        <v>37</v>
      </c>
    </row>
    <row r="426" spans="1:8" ht="12.75">
      <c r="A426" t="s">
        <v>347</v>
      </c>
      <c r="C426" s="8">
        <f>IF(D365=0,0,IF(D365&lt;995,0.3,IF(D365&lt;1005,0.4,IF(D365&gt;1005,0.5))))</f>
        <v>0</v>
      </c>
      <c r="D426" t="s">
        <v>346</v>
      </c>
      <c r="E426" s="8">
        <f>F365</f>
        <v>0</v>
      </c>
      <c r="F426" s="8" t="s">
        <v>311</v>
      </c>
      <c r="G426" s="8">
        <f>(C426*E426)/10</f>
        <v>0</v>
      </c>
      <c r="H426" t="s">
        <v>37</v>
      </c>
    </row>
    <row r="427" spans="1:8" ht="12.75">
      <c r="A427" t="s">
        <v>348</v>
      </c>
      <c r="C427" s="8">
        <f>IF(D365=0,0,IF(D365&lt;995,0.5,IF(D365&lt;1005,1,IF(D365&gt;1005,1.5))))</f>
        <v>0</v>
      </c>
      <c r="D427" t="s">
        <v>346</v>
      </c>
      <c r="E427" s="8">
        <f>F365</f>
        <v>0</v>
      </c>
      <c r="F427" s="8" t="s">
        <v>311</v>
      </c>
      <c r="G427" s="8">
        <f>(C427*E427)/10</f>
        <v>0</v>
      </c>
      <c r="H427" t="s">
        <v>37</v>
      </c>
    </row>
    <row r="431" spans="1:6" ht="12.75">
      <c r="A431" s="1" t="s">
        <v>351</v>
      </c>
      <c r="E431" t="s">
        <v>10</v>
      </c>
      <c r="F431" s="69">
        <f>Invoerblad!B305</f>
        <v>0</v>
      </c>
    </row>
    <row r="433" spans="1:4" ht="12.75">
      <c r="A433" t="s">
        <v>345</v>
      </c>
      <c r="C433" s="8">
        <f>G425</f>
        <v>0</v>
      </c>
      <c r="D433" t="s">
        <v>37</v>
      </c>
    </row>
    <row r="434" spans="1:4" ht="12.75">
      <c r="A434" t="s">
        <v>347</v>
      </c>
      <c r="C434" s="8">
        <f>G426</f>
        <v>0</v>
      </c>
      <c r="D434" t="s">
        <v>37</v>
      </c>
    </row>
    <row r="435" spans="1:4" ht="12.75">
      <c r="A435" t="s">
        <v>348</v>
      </c>
      <c r="C435" s="8">
        <f>G427</f>
        <v>0</v>
      </c>
      <c r="D435" t="s">
        <v>37</v>
      </c>
    </row>
    <row r="441" spans="1:4" ht="12.75">
      <c r="A441" s="63" t="s">
        <v>172</v>
      </c>
      <c r="C441" t="s">
        <v>10</v>
      </c>
      <c r="D441" s="69">
        <f>Invoerblad!E294</f>
        <v>0</v>
      </c>
    </row>
    <row r="443" ht="12.75">
      <c r="A443" s="1" t="s">
        <v>173</v>
      </c>
    </row>
    <row r="445" spans="2:3" ht="12.75">
      <c r="B445" s="8">
        <f>Invoerblad!B298</f>
        <v>0</v>
      </c>
      <c r="C445" t="s">
        <v>15</v>
      </c>
    </row>
    <row r="446" spans="2:3" ht="12.75">
      <c r="B446" s="8">
        <f>Invoerblad!B299</f>
        <v>0</v>
      </c>
      <c r="C446" t="s">
        <v>174</v>
      </c>
    </row>
    <row r="447" spans="2:4" ht="12.75">
      <c r="B447" s="8">
        <f>Invoerblad!B300</f>
        <v>0</v>
      </c>
      <c r="C447" t="s">
        <v>175</v>
      </c>
      <c r="D447" t="s">
        <v>176</v>
      </c>
    </row>
    <row r="448" spans="2:3" ht="12.75">
      <c r="B448" s="8">
        <f>Invoerblad!B301</f>
        <v>0</v>
      </c>
      <c r="C448" t="s">
        <v>171</v>
      </c>
    </row>
    <row r="451" spans="1:4" ht="12.75">
      <c r="A451" s="1" t="s">
        <v>178</v>
      </c>
      <c r="C451" s="8">
        <f>Invoerblad!C307</f>
        <v>0</v>
      </c>
      <c r="D451" t="s">
        <v>179</v>
      </c>
    </row>
    <row r="452" spans="3:4" ht="12.75">
      <c r="C452" s="8">
        <f>Invoerblad!C308</f>
        <v>0</v>
      </c>
      <c r="D452" t="s">
        <v>180</v>
      </c>
    </row>
    <row r="453" spans="3:4" ht="12.75">
      <c r="C453" s="8">
        <f>Invoerblad!C309</f>
        <v>0</v>
      </c>
      <c r="D453" t="s">
        <v>181</v>
      </c>
    </row>
    <row r="485" ht="12.75">
      <c r="A485" s="1"/>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30">
    <mergeCell ref="E121:F121"/>
    <mergeCell ref="B354:D354"/>
    <mergeCell ref="A162:I164"/>
    <mergeCell ref="F360:G360"/>
    <mergeCell ref="H360:I360"/>
    <mergeCell ref="G314:G315"/>
    <mergeCell ref="H314:I315"/>
    <mergeCell ref="B351:D351"/>
    <mergeCell ref="B352:D352"/>
    <mergeCell ref="F312:F313"/>
    <mergeCell ref="B353:D353"/>
    <mergeCell ref="A346:I347"/>
    <mergeCell ref="A314:A315"/>
    <mergeCell ref="B314:B315"/>
    <mergeCell ref="F314:F315"/>
    <mergeCell ref="A1:H1"/>
    <mergeCell ref="A61:C61"/>
    <mergeCell ref="D61:E61"/>
    <mergeCell ref="F61:G61"/>
    <mergeCell ref="H61:I61"/>
    <mergeCell ref="E122:F122"/>
    <mergeCell ref="E123:F123"/>
    <mergeCell ref="A111:I112"/>
    <mergeCell ref="E117:F117"/>
    <mergeCell ref="E118:F118"/>
    <mergeCell ref="E119:F119"/>
    <mergeCell ref="A116:C116"/>
    <mergeCell ref="D116:F116"/>
    <mergeCell ref="G116:I116"/>
    <mergeCell ref="E120:F120"/>
  </mergeCells>
  <printOptions/>
  <pageMargins left="0.5905511811023623" right="0.5905511811023623" top="0.7874015748031497"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I668"/>
  <sheetViews>
    <sheetView workbookViewId="0" topLeftCell="A1">
      <selection activeCell="E150" sqref="E150:F150"/>
    </sheetView>
  </sheetViews>
  <sheetFormatPr defaultColWidth="9.140625" defaultRowHeight="12.75"/>
  <cols>
    <col min="2" max="2" width="9.421875" style="0" customWidth="1"/>
    <col min="3" max="3" width="10.7109375" style="0" bestFit="1" customWidth="1"/>
    <col min="4" max="4" width="9.421875" style="0" bestFit="1" customWidth="1"/>
    <col min="5" max="6" width="10.7109375" style="0" bestFit="1" customWidth="1"/>
    <col min="7" max="7" width="9.421875" style="0" bestFit="1" customWidth="1"/>
  </cols>
  <sheetData>
    <row r="1" spans="1:9" ht="29.25">
      <c r="A1" s="162" t="s">
        <v>380</v>
      </c>
      <c r="B1" s="162"/>
      <c r="C1" s="162"/>
      <c r="D1" s="162"/>
      <c r="E1" s="162"/>
      <c r="F1" s="162"/>
      <c r="G1" s="162"/>
      <c r="H1" s="162"/>
      <c r="I1" s="8" t="s">
        <v>7</v>
      </c>
    </row>
    <row r="3" spans="1:9" ht="12.75">
      <c r="A3" s="1" t="s">
        <v>8</v>
      </c>
      <c r="C3">
        <f>Invoerblad!C3</f>
        <v>0</v>
      </c>
      <c r="H3" s="1" t="s">
        <v>9</v>
      </c>
      <c r="I3" s="8">
        <f>Invoerblad!I3</f>
        <v>0</v>
      </c>
    </row>
    <row r="5" spans="1:2" ht="12.75">
      <c r="A5" s="1" t="s">
        <v>10</v>
      </c>
      <c r="B5" s="69">
        <f>Invoerblad!B5</f>
        <v>0</v>
      </c>
    </row>
    <row r="7" spans="1:4" ht="15">
      <c r="A7" s="70" t="s">
        <v>13</v>
      </c>
      <c r="B7" s="37"/>
      <c r="C7" s="37"/>
      <c r="D7" s="37"/>
    </row>
    <row r="9" spans="1:5" ht="12.75">
      <c r="A9" s="1" t="s">
        <v>14</v>
      </c>
      <c r="D9" s="8">
        <f>Invoerblad!D9</f>
        <v>0</v>
      </c>
      <c r="E9" t="s">
        <v>15</v>
      </c>
    </row>
    <row r="10" spans="4:7" ht="12.75">
      <c r="D10" s="8">
        <f>Invoerblad!D10</f>
        <v>0</v>
      </c>
      <c r="E10" t="s">
        <v>16</v>
      </c>
      <c r="F10" s="1" t="s">
        <v>17</v>
      </c>
      <c r="G10">
        <f>Invoerblad!G10</f>
        <v>0</v>
      </c>
    </row>
    <row r="11" spans="1:7" ht="12.75">
      <c r="A11" t="s">
        <v>18</v>
      </c>
      <c r="F11" s="1" t="s">
        <v>19</v>
      </c>
      <c r="G11" s="8">
        <f>Invoerblad!G11</f>
        <v>0</v>
      </c>
    </row>
    <row r="12" ht="12.75">
      <c r="A12" t="s">
        <v>20</v>
      </c>
    </row>
    <row r="14" spans="1:5" ht="12.75">
      <c r="A14" s="1" t="s">
        <v>21</v>
      </c>
      <c r="D14" s="8">
        <f>Invoerblad!D14</f>
        <v>0</v>
      </c>
      <c r="E14" t="s">
        <v>15</v>
      </c>
    </row>
    <row r="15" spans="4:7" ht="12.75">
      <c r="D15" s="8">
        <f>Invoerblad!D15</f>
        <v>0</v>
      </c>
      <c r="E15" t="s">
        <v>16</v>
      </c>
      <c r="F15" s="1" t="s">
        <v>17</v>
      </c>
      <c r="G15">
        <f>Invoerblad!G15</f>
        <v>0</v>
      </c>
    </row>
    <row r="16" spans="6:7" ht="12.75">
      <c r="F16" s="1" t="s">
        <v>19</v>
      </c>
      <c r="G16" s="8">
        <f>Invoerblad!G16</f>
        <v>0</v>
      </c>
    </row>
    <row r="18" spans="1:5" ht="12.75">
      <c r="A18" s="1" t="s">
        <v>244</v>
      </c>
      <c r="D18" s="8">
        <f>(D9+D10+D14+D15)</f>
        <v>0</v>
      </c>
      <c r="E18" t="s">
        <v>50</v>
      </c>
    </row>
    <row r="20" spans="1:7" ht="12.75">
      <c r="A20" s="1" t="s">
        <v>22</v>
      </c>
      <c r="C20" s="38" t="s">
        <v>23</v>
      </c>
      <c r="F20" s="8">
        <f>Invoerblad!F18</f>
        <v>0</v>
      </c>
      <c r="G20" t="s">
        <v>24</v>
      </c>
    </row>
    <row r="21" spans="3:7" ht="12.75">
      <c r="C21" t="s">
        <v>25</v>
      </c>
      <c r="F21" s="8">
        <f>Invoerblad!F19</f>
        <v>0</v>
      </c>
      <c r="G21" t="s">
        <v>26</v>
      </c>
    </row>
    <row r="22" spans="3:7" ht="12.75">
      <c r="C22" s="38" t="s">
        <v>27</v>
      </c>
      <c r="F22" s="8">
        <f>Invoerblad!F20</f>
        <v>0</v>
      </c>
      <c r="G22" t="s">
        <v>28</v>
      </c>
    </row>
    <row r="24" spans="1:8" ht="12.75">
      <c r="A24" s="1" t="s">
        <v>29</v>
      </c>
      <c r="E24" s="71">
        <f>Invoerblad!E22</f>
        <v>0</v>
      </c>
      <c r="F24" t="s">
        <v>30</v>
      </c>
      <c r="G24" s="1" t="s">
        <v>10</v>
      </c>
      <c r="H24" s="52">
        <f>Invoerblad!H22</f>
        <v>0</v>
      </c>
    </row>
    <row r="26" spans="1:8" ht="12.75">
      <c r="A26" s="1" t="s">
        <v>31</v>
      </c>
      <c r="E26" s="71">
        <f>Invoerblad!E24</f>
        <v>0</v>
      </c>
      <c r="F26" t="s">
        <v>30</v>
      </c>
      <c r="G26" s="1" t="s">
        <v>10</v>
      </c>
      <c r="H26" s="52">
        <f>Invoerblad!H24</f>
        <v>0</v>
      </c>
    </row>
    <row r="28" spans="1:6" ht="12.75">
      <c r="A28" s="1" t="s">
        <v>32</v>
      </c>
      <c r="E28" s="8">
        <f>Invoerblad!E26</f>
        <v>0</v>
      </c>
      <c r="F28" t="s">
        <v>33</v>
      </c>
    </row>
    <row r="30" spans="1:6" ht="12.75">
      <c r="A30" s="1" t="s">
        <v>34</v>
      </c>
      <c r="B30">
        <f>Invoerblad!B28</f>
        <v>0</v>
      </c>
      <c r="E30" s="1" t="s">
        <v>17</v>
      </c>
      <c r="F30">
        <f>Invoerblad!F28</f>
        <v>0</v>
      </c>
    </row>
    <row r="31" spans="1:7" ht="12.75">
      <c r="A31" s="1" t="s">
        <v>35</v>
      </c>
      <c r="D31" s="69">
        <f>Invoerblad!D29</f>
        <v>0</v>
      </c>
      <c r="E31" s="1" t="s">
        <v>36</v>
      </c>
      <c r="F31" s="8">
        <f>Invoerblad!F29</f>
        <v>0</v>
      </c>
      <c r="G31" t="s">
        <v>37</v>
      </c>
    </row>
    <row r="33" ht="12.75">
      <c r="A33" s="38" t="s">
        <v>38</v>
      </c>
    </row>
    <row r="35" spans="1:7" ht="12.75">
      <c r="A35" s="1" t="s">
        <v>39</v>
      </c>
      <c r="C35" s="8">
        <f>Invoerblad!C33</f>
        <v>0</v>
      </c>
      <c r="D35" t="s">
        <v>37</v>
      </c>
      <c r="E35" s="1" t="s">
        <v>40</v>
      </c>
      <c r="F35" s="8">
        <f>Invoerblad!F33</f>
        <v>0</v>
      </c>
      <c r="G35" t="s">
        <v>37</v>
      </c>
    </row>
    <row r="37" spans="1:8" ht="12.75">
      <c r="A37" t="s">
        <v>41</v>
      </c>
      <c r="C37" s="8">
        <f>Invoerblad!C35</f>
        <v>0</v>
      </c>
      <c r="D37" t="s">
        <v>37</v>
      </c>
      <c r="E37" t="s">
        <v>42</v>
      </c>
      <c r="G37" s="8">
        <f>Invoerblad!G35</f>
        <v>0</v>
      </c>
      <c r="H37" t="s">
        <v>37</v>
      </c>
    </row>
    <row r="38" spans="1:8" ht="12.75">
      <c r="A38" t="s">
        <v>43</v>
      </c>
      <c r="C38" s="8">
        <f>Invoerblad!C36</f>
        <v>0</v>
      </c>
      <c r="D38" t="s">
        <v>37</v>
      </c>
      <c r="E38" t="s">
        <v>44</v>
      </c>
      <c r="G38" s="8">
        <f>Invoerblad!G36</f>
        <v>0</v>
      </c>
      <c r="H38" t="s">
        <v>37</v>
      </c>
    </row>
    <row r="39" spans="1:4" ht="12.75">
      <c r="A39" t="s">
        <v>45</v>
      </c>
      <c r="C39" s="8">
        <f>Invoerblad!C37</f>
        <v>0</v>
      </c>
      <c r="D39" t="s">
        <v>37</v>
      </c>
    </row>
    <row r="41" spans="1:6" ht="12.75">
      <c r="A41" s="1" t="s">
        <v>245</v>
      </c>
      <c r="E41" s="8">
        <f>(C37+C38+C39+G37+G38)</f>
        <v>0</v>
      </c>
      <c r="F41" t="s">
        <v>37</v>
      </c>
    </row>
    <row r="43" ht="12.75">
      <c r="A43" s="72"/>
    </row>
    <row r="44" ht="12.75">
      <c r="B44" s="72"/>
    </row>
    <row r="55" spans="1:9" ht="15">
      <c r="A55" s="70" t="s">
        <v>46</v>
      </c>
      <c r="I55" s="8" t="s">
        <v>52</v>
      </c>
    </row>
    <row r="57" spans="1:8" ht="12.75">
      <c r="A57" s="38" t="s">
        <v>47</v>
      </c>
      <c r="F57" s="1" t="s">
        <v>48</v>
      </c>
      <c r="H57" s="69">
        <f>Invoerblad!H43</f>
        <v>0</v>
      </c>
    </row>
    <row r="59" spans="1:9" ht="12.75">
      <c r="A59" s="79" t="s">
        <v>246</v>
      </c>
      <c r="B59" s="12"/>
      <c r="C59" s="13"/>
      <c r="D59" s="79" t="s">
        <v>247</v>
      </c>
      <c r="E59" s="13"/>
      <c r="F59" s="79" t="s">
        <v>248</v>
      </c>
      <c r="G59" s="13"/>
      <c r="H59" s="79" t="s">
        <v>249</v>
      </c>
      <c r="I59" s="13"/>
    </row>
    <row r="60" spans="1:9" ht="12.75">
      <c r="A60" s="11">
        <f>Invoerblad!B45</f>
        <v>0</v>
      </c>
      <c r="B60" s="80"/>
      <c r="C60" s="81"/>
      <c r="D60" s="79">
        <f>Invoerblad!E45</f>
        <v>0</v>
      </c>
      <c r="E60" s="81" t="s">
        <v>49</v>
      </c>
      <c r="F60" s="79">
        <f>Invoerblad!G45</f>
        <v>0</v>
      </c>
      <c r="G60" s="81" t="s">
        <v>50</v>
      </c>
      <c r="H60" s="82">
        <f aca="true" t="shared" si="0" ref="H60:H67">IF($D60=0,0,($F60/$D60)*100)</f>
        <v>0</v>
      </c>
      <c r="I60" s="81" t="s">
        <v>250</v>
      </c>
    </row>
    <row r="61" spans="1:9" ht="12.75">
      <c r="A61" s="19">
        <f>Invoerblad!B46</f>
        <v>0</v>
      </c>
      <c r="B61" s="20"/>
      <c r="C61" s="21"/>
      <c r="D61" s="83">
        <f>Invoerblad!E46</f>
        <v>0</v>
      </c>
      <c r="E61" s="21" t="s">
        <v>49</v>
      </c>
      <c r="F61" s="83">
        <f>Invoerblad!G46</f>
        <v>0</v>
      </c>
      <c r="G61" s="21" t="s">
        <v>50</v>
      </c>
      <c r="H61" s="82">
        <f t="shared" si="0"/>
        <v>0</v>
      </c>
      <c r="I61" s="81" t="s">
        <v>250</v>
      </c>
    </row>
    <row r="62" spans="1:9" ht="12.75">
      <c r="A62" s="15">
        <f>Invoerblad!B47</f>
        <v>0</v>
      </c>
      <c r="B62" s="16"/>
      <c r="C62" s="17"/>
      <c r="D62" s="84">
        <f>Invoerblad!E47</f>
        <v>0</v>
      </c>
      <c r="E62" s="17" t="s">
        <v>49</v>
      </c>
      <c r="F62" s="84">
        <f>Invoerblad!G47</f>
        <v>0</v>
      </c>
      <c r="G62" s="17" t="s">
        <v>50</v>
      </c>
      <c r="H62" s="82">
        <f t="shared" si="0"/>
        <v>0</v>
      </c>
      <c r="I62" s="81" t="s">
        <v>250</v>
      </c>
    </row>
    <row r="63" spans="1:9" ht="12.75">
      <c r="A63" s="11">
        <f>Invoerblad!B48</f>
        <v>0</v>
      </c>
      <c r="B63" s="80"/>
      <c r="C63" s="81"/>
      <c r="D63" s="79">
        <f>Invoerblad!E48</f>
        <v>0</v>
      </c>
      <c r="E63" s="81" t="s">
        <v>49</v>
      </c>
      <c r="F63" s="79">
        <f>Invoerblad!G48</f>
        <v>0</v>
      </c>
      <c r="G63" s="81" t="s">
        <v>50</v>
      </c>
      <c r="H63" s="82">
        <f t="shared" si="0"/>
        <v>0</v>
      </c>
      <c r="I63" s="81" t="s">
        <v>250</v>
      </c>
    </row>
    <row r="64" spans="1:9" ht="12.75">
      <c r="A64" s="19">
        <f>Invoerblad!B49</f>
        <v>0</v>
      </c>
      <c r="B64" s="20"/>
      <c r="C64" s="21"/>
      <c r="D64" s="83">
        <f>Invoerblad!E49</f>
        <v>0</v>
      </c>
      <c r="E64" s="21" t="s">
        <v>49</v>
      </c>
      <c r="F64" s="83">
        <f>Invoerblad!G49</f>
        <v>0</v>
      </c>
      <c r="G64" s="21" t="s">
        <v>50</v>
      </c>
      <c r="H64" s="82">
        <f t="shared" si="0"/>
        <v>0</v>
      </c>
      <c r="I64" s="81" t="s">
        <v>250</v>
      </c>
    </row>
    <row r="65" spans="1:9" ht="12.75">
      <c r="A65" s="11">
        <f>Invoerblad!B50</f>
        <v>0</v>
      </c>
      <c r="B65" s="80"/>
      <c r="C65" s="81"/>
      <c r="D65" s="79">
        <f>Invoerblad!E50</f>
        <v>0</v>
      </c>
      <c r="E65" s="81" t="s">
        <v>49</v>
      </c>
      <c r="F65" s="79">
        <f>Invoerblad!G50</f>
        <v>0</v>
      </c>
      <c r="G65" s="81" t="s">
        <v>50</v>
      </c>
      <c r="H65" s="82">
        <f t="shared" si="0"/>
        <v>0</v>
      </c>
      <c r="I65" s="81" t="s">
        <v>250</v>
      </c>
    </row>
    <row r="66" spans="1:9" ht="12.75">
      <c r="A66" s="23">
        <f>Invoerblad!B51</f>
        <v>0</v>
      </c>
      <c r="B66" s="24"/>
      <c r="C66" s="25"/>
      <c r="D66" s="85">
        <f>Invoerblad!E51</f>
        <v>0</v>
      </c>
      <c r="E66" s="25" t="s">
        <v>49</v>
      </c>
      <c r="F66" s="85">
        <f>Invoerblad!G51</f>
        <v>0</v>
      </c>
      <c r="G66" s="25" t="s">
        <v>50</v>
      </c>
      <c r="H66" s="82">
        <f t="shared" si="0"/>
        <v>0</v>
      </c>
      <c r="I66" s="81" t="s">
        <v>250</v>
      </c>
    </row>
    <row r="67" spans="1:9" ht="12.75">
      <c r="A67" s="23" t="s">
        <v>251</v>
      </c>
      <c r="B67" s="24"/>
      <c r="C67" s="25"/>
      <c r="D67" s="85">
        <f>(D60+D61+D62+D63+D64+D65+D66)</f>
        <v>0</v>
      </c>
      <c r="E67" s="25" t="s">
        <v>49</v>
      </c>
      <c r="F67" s="85">
        <f>(F60+F61+F62+F63+F64+F65+F66)</f>
        <v>0</v>
      </c>
      <c r="G67" s="25" t="s">
        <v>50</v>
      </c>
      <c r="H67" s="82">
        <f t="shared" si="0"/>
        <v>0</v>
      </c>
      <c r="I67" s="81" t="s">
        <v>250</v>
      </c>
    </row>
    <row r="70" ht="12.75">
      <c r="A70" s="1" t="s">
        <v>51</v>
      </c>
    </row>
    <row r="71" spans="1:6" ht="12.75">
      <c r="A71">
        <v>1</v>
      </c>
      <c r="B71" t="s">
        <v>23</v>
      </c>
      <c r="D71" s="8">
        <f>Invoerblad!D58</f>
        <v>0</v>
      </c>
      <c r="E71" t="s">
        <v>27</v>
      </c>
      <c r="F71" s="8">
        <f>Invoerblad!F58</f>
        <v>0</v>
      </c>
    </row>
    <row r="72" spans="1:6" ht="12.75">
      <c r="A72">
        <v>2</v>
      </c>
      <c r="B72" t="s">
        <v>23</v>
      </c>
      <c r="D72" s="8">
        <f>Invoerblad!D59</f>
        <v>0</v>
      </c>
      <c r="E72" t="s">
        <v>27</v>
      </c>
      <c r="F72" s="8">
        <f>Invoerblad!F59</f>
        <v>0</v>
      </c>
    </row>
    <row r="73" spans="1:6" ht="12.75">
      <c r="A73">
        <v>3</v>
      </c>
      <c r="B73" t="s">
        <v>23</v>
      </c>
      <c r="D73" s="8">
        <f>Invoerblad!D60</f>
        <v>0</v>
      </c>
      <c r="E73" t="s">
        <v>27</v>
      </c>
      <c r="F73" s="8">
        <f>Invoerblad!F60</f>
        <v>0</v>
      </c>
    </row>
    <row r="74" spans="1:6" ht="12.75">
      <c r="A74">
        <v>4</v>
      </c>
      <c r="B74" t="s">
        <v>23</v>
      </c>
      <c r="D74" s="8">
        <f>Invoerblad!D61</f>
        <v>0</v>
      </c>
      <c r="E74" t="s">
        <v>27</v>
      </c>
      <c r="F74" s="8">
        <f>Invoerblad!F61</f>
        <v>0</v>
      </c>
    </row>
    <row r="75" spans="1:6" ht="12.75">
      <c r="A75">
        <v>5</v>
      </c>
      <c r="B75" t="s">
        <v>23</v>
      </c>
      <c r="D75" s="8">
        <f>Invoerblad!D62</f>
        <v>0</v>
      </c>
      <c r="E75" t="s">
        <v>27</v>
      </c>
      <c r="F75" s="8">
        <f>Invoerblad!F62</f>
        <v>0</v>
      </c>
    </row>
    <row r="76" spans="1:6" ht="12.75">
      <c r="A76">
        <v>6</v>
      </c>
      <c r="B76" t="s">
        <v>23</v>
      </c>
      <c r="D76" s="8">
        <f>Invoerblad!D63</f>
        <v>0</v>
      </c>
      <c r="E76" t="s">
        <v>27</v>
      </c>
      <c r="F76" s="8">
        <f>Invoerblad!F63</f>
        <v>0</v>
      </c>
    </row>
    <row r="77" spans="1:6" ht="12.75">
      <c r="A77">
        <v>7</v>
      </c>
      <c r="B77" t="s">
        <v>23</v>
      </c>
      <c r="D77" s="8">
        <f>Invoerblad!D64</f>
        <v>0</v>
      </c>
      <c r="E77" t="s">
        <v>27</v>
      </c>
      <c r="F77" s="8">
        <f>Invoerblad!F64</f>
        <v>0</v>
      </c>
    </row>
    <row r="80" ht="12.75">
      <c r="A80" s="38" t="s">
        <v>53</v>
      </c>
    </row>
    <row r="82" spans="1:8" ht="12.75">
      <c r="A82" t="s">
        <v>54</v>
      </c>
      <c r="D82" s="8">
        <f>Invoerblad!D68</f>
        <v>0</v>
      </c>
      <c r="E82" t="s">
        <v>37</v>
      </c>
      <c r="G82" t="s">
        <v>10</v>
      </c>
      <c r="H82" s="69">
        <f>Invoerblad!H68</f>
        <v>0</v>
      </c>
    </row>
    <row r="83" spans="1:8" ht="12.75">
      <c r="A83" t="s">
        <v>55</v>
      </c>
      <c r="D83" s="8">
        <f>Invoerblad!D69</f>
        <v>0</v>
      </c>
      <c r="E83" t="s">
        <v>37</v>
      </c>
      <c r="G83" t="s">
        <v>10</v>
      </c>
      <c r="H83" s="69">
        <f>Invoerblad!H69</f>
        <v>0</v>
      </c>
    </row>
    <row r="84" spans="1:8" ht="12.75">
      <c r="A84" t="s">
        <v>39</v>
      </c>
      <c r="D84" s="8">
        <f>Invoerblad!D70</f>
        <v>0</v>
      </c>
      <c r="E84" t="s">
        <v>37</v>
      </c>
      <c r="G84" t="s">
        <v>10</v>
      </c>
      <c r="H84" s="69">
        <f>Invoerblad!H70</f>
        <v>0</v>
      </c>
    </row>
    <row r="85" spans="1:8" ht="12.75">
      <c r="A85" t="s">
        <v>56</v>
      </c>
      <c r="D85" s="8">
        <f>Invoerblad!D71</f>
        <v>0</v>
      </c>
      <c r="E85" t="s">
        <v>57</v>
      </c>
      <c r="G85" t="s">
        <v>10</v>
      </c>
      <c r="H85" s="69">
        <f>Invoerblad!H71</f>
        <v>0</v>
      </c>
    </row>
    <row r="86" spans="1:6" ht="12.75">
      <c r="A86" t="s">
        <v>17</v>
      </c>
      <c r="B86">
        <f>Invoerblad!B72</f>
        <v>0</v>
      </c>
      <c r="E86" t="s">
        <v>19</v>
      </c>
      <c r="F86">
        <f>Invoerblad!F72</f>
        <v>0</v>
      </c>
    </row>
    <row r="87" spans="1:8" ht="12.75">
      <c r="A87" t="s">
        <v>58</v>
      </c>
      <c r="D87" s="8">
        <f>Invoerblad!D73</f>
        <v>0</v>
      </c>
      <c r="E87" t="s">
        <v>37</v>
      </c>
      <c r="G87" t="s">
        <v>10</v>
      </c>
      <c r="H87" s="69">
        <f>Invoerblad!H73</f>
        <v>0</v>
      </c>
    </row>
    <row r="88" spans="1:8" ht="12.75">
      <c r="A88" t="s">
        <v>59</v>
      </c>
      <c r="D88" s="8">
        <f>Invoerblad!D74</f>
        <v>0</v>
      </c>
      <c r="E88" t="s">
        <v>37</v>
      </c>
      <c r="G88" t="s">
        <v>10</v>
      </c>
      <c r="H88" s="69">
        <f>Invoerblad!H74</f>
        <v>0</v>
      </c>
    </row>
    <row r="89" spans="1:8" ht="12.75">
      <c r="A89" t="s">
        <v>60</v>
      </c>
      <c r="D89" s="8">
        <f>Invoerblad!D75</f>
        <v>0</v>
      </c>
      <c r="E89" t="s">
        <v>37</v>
      </c>
      <c r="G89" t="s">
        <v>10</v>
      </c>
      <c r="H89" s="69">
        <f>Invoerblad!H75</f>
        <v>0</v>
      </c>
    </row>
    <row r="90" spans="1:8" ht="12.75">
      <c r="A90" t="s">
        <v>252</v>
      </c>
      <c r="D90" s="8">
        <f>Invoerblad!D76</f>
        <v>0</v>
      </c>
      <c r="E90" t="s">
        <v>37</v>
      </c>
      <c r="G90" t="s">
        <v>10</v>
      </c>
      <c r="H90" s="69">
        <f>Invoerblad!H76</f>
        <v>0</v>
      </c>
    </row>
    <row r="92" ht="15">
      <c r="A92" s="70" t="s">
        <v>62</v>
      </c>
    </row>
    <row r="94" spans="1:8" ht="12.75">
      <c r="A94" s="1" t="s">
        <v>63</v>
      </c>
      <c r="G94" s="8">
        <f>Invoerblad!G80</f>
        <v>0</v>
      </c>
      <c r="H94" t="s">
        <v>24</v>
      </c>
    </row>
    <row r="95" spans="1:5" ht="12.75">
      <c r="A95" t="s">
        <v>25</v>
      </c>
      <c r="D95" s="8">
        <f>Invoerblad!D81</f>
        <v>0</v>
      </c>
      <c r="E95" t="s">
        <v>26</v>
      </c>
    </row>
    <row r="97" spans="1:4" ht="12.75">
      <c r="A97" s="1" t="s">
        <v>64</v>
      </c>
      <c r="B97" s="1"/>
      <c r="C97" s="8">
        <f>Invoerblad!C83</f>
        <v>0</v>
      </c>
      <c r="D97" t="s">
        <v>28</v>
      </c>
    </row>
    <row r="99" spans="1:4" ht="12.75">
      <c r="A99" s="1" t="s">
        <v>65</v>
      </c>
      <c r="B99" s="1"/>
      <c r="C99" s="8">
        <f>Invoerblad!C85</f>
        <v>0</v>
      </c>
      <c r="D99" t="s">
        <v>28</v>
      </c>
    </row>
    <row r="101" spans="1:5" ht="12.75">
      <c r="A101" s="1" t="s">
        <v>66</v>
      </c>
      <c r="D101" s="8">
        <f>Invoerblad!D87</f>
        <v>0</v>
      </c>
      <c r="E101" t="s">
        <v>67</v>
      </c>
    </row>
    <row r="103" spans="1:7" ht="12.75">
      <c r="A103" s="1" t="s">
        <v>361</v>
      </c>
      <c r="B103" s="1"/>
      <c r="F103" s="119">
        <f>Invoerblad!F89</f>
        <v>0</v>
      </c>
      <c r="G103" t="s">
        <v>50</v>
      </c>
    </row>
    <row r="104" spans="2:4" ht="12.75">
      <c r="B104" s="112" t="s">
        <v>453</v>
      </c>
      <c r="C104" s="112"/>
      <c r="D104" s="112"/>
    </row>
    <row r="105" spans="1:8" ht="12.75">
      <c r="A105" s="1" t="s">
        <v>362</v>
      </c>
      <c r="G105" s="119">
        <f>Invoerblad!G91</f>
        <v>0</v>
      </c>
      <c r="H105" t="s">
        <v>50</v>
      </c>
    </row>
    <row r="106" spans="1:9" ht="12.75" customHeight="1">
      <c r="A106" s="165" t="s">
        <v>454</v>
      </c>
      <c r="B106" s="166"/>
      <c r="C106" s="166"/>
      <c r="D106" s="166"/>
      <c r="E106" s="166"/>
      <c r="F106" s="166"/>
      <c r="G106" s="166"/>
      <c r="H106" s="166"/>
      <c r="I106" s="166"/>
    </row>
    <row r="107" spans="1:9" ht="12.75">
      <c r="A107" s="166"/>
      <c r="B107" s="166"/>
      <c r="C107" s="166"/>
      <c r="D107" s="166"/>
      <c r="E107" s="166"/>
      <c r="F107" s="166"/>
      <c r="G107" s="166"/>
      <c r="H107" s="166"/>
      <c r="I107" s="166"/>
    </row>
    <row r="109" ht="12.75">
      <c r="A109" s="46" t="s">
        <v>81</v>
      </c>
    </row>
    <row r="110" ht="12.75">
      <c r="I110" s="8" t="s">
        <v>75</v>
      </c>
    </row>
    <row r="111" spans="1:9" ht="12.75">
      <c r="A111" t="s">
        <v>32</v>
      </c>
      <c r="D111" s="8">
        <f>Invoerblad!D158</f>
        <v>0</v>
      </c>
      <c r="E111" t="s">
        <v>33</v>
      </c>
      <c r="F111" t="s">
        <v>82</v>
      </c>
      <c r="H111" s="8">
        <f>Invoerblad!H158</f>
        <v>0</v>
      </c>
      <c r="I111" t="s">
        <v>33</v>
      </c>
    </row>
    <row r="113" spans="1:8" ht="12.75">
      <c r="A113" t="s">
        <v>83</v>
      </c>
      <c r="B113" t="s">
        <v>17</v>
      </c>
      <c r="C113">
        <f>Invoerblad!C160</f>
        <v>0</v>
      </c>
      <c r="F113" t="s">
        <v>84</v>
      </c>
      <c r="H113" s="69">
        <f>Invoerblad!H160</f>
        <v>0</v>
      </c>
    </row>
    <row r="114" spans="2:3" ht="12.75">
      <c r="B114" t="s">
        <v>19</v>
      </c>
      <c r="C114">
        <f>Invoerblad!C161</f>
        <v>0</v>
      </c>
    </row>
    <row r="115" spans="2:6" ht="12.75">
      <c r="B115" t="s">
        <v>85</v>
      </c>
      <c r="D115" s="26"/>
      <c r="E115" s="8">
        <f>Invoerblad!E162</f>
        <v>0</v>
      </c>
      <c r="F115" t="s">
        <v>37</v>
      </c>
    </row>
    <row r="117" spans="1:4" ht="12.75">
      <c r="A117" t="s">
        <v>86</v>
      </c>
      <c r="D117">
        <f>Invoerblad!D164</f>
        <v>0</v>
      </c>
    </row>
    <row r="118" spans="2:5" ht="12.75">
      <c r="B118" t="s">
        <v>87</v>
      </c>
      <c r="D118" s="8">
        <f>Invoerblad!D165</f>
        <v>0</v>
      </c>
      <c r="E118" t="s">
        <v>33</v>
      </c>
    </row>
    <row r="120" spans="1:5" ht="12.75">
      <c r="A120" t="s">
        <v>88</v>
      </c>
      <c r="E120">
        <f>Invoerblad!E166</f>
        <v>0</v>
      </c>
    </row>
    <row r="121" spans="2:6" ht="12.75">
      <c r="B121" t="s">
        <v>89</v>
      </c>
      <c r="D121" s="69">
        <f>Invoerblad!D167</f>
        <v>0</v>
      </c>
      <c r="E121" s="8" t="s">
        <v>90</v>
      </c>
      <c r="F121" s="71">
        <f>Invoerblad!F167</f>
        <v>0</v>
      </c>
    </row>
    <row r="122" spans="2:9" ht="12.75">
      <c r="B122" t="s">
        <v>91</v>
      </c>
      <c r="D122" s="8">
        <f>Invoerblad!D168</f>
        <v>0</v>
      </c>
      <c r="E122" t="s">
        <v>50</v>
      </c>
      <c r="F122" t="s">
        <v>92</v>
      </c>
      <c r="H122" s="8">
        <f>Invoerblad!H168</f>
        <v>0</v>
      </c>
      <c r="I122" t="s">
        <v>33</v>
      </c>
    </row>
    <row r="123" ht="12.75">
      <c r="A123" t="s">
        <v>93</v>
      </c>
    </row>
    <row r="124" spans="2:8" ht="12.75">
      <c r="B124" t="s">
        <v>94</v>
      </c>
      <c r="C124" s="8">
        <f>Invoerblad!C172</f>
        <v>0</v>
      </c>
      <c r="D124" t="s">
        <v>95</v>
      </c>
      <c r="E124" s="8">
        <f>Invoerblad!E172</f>
        <v>0</v>
      </c>
      <c r="F124" t="s">
        <v>96</v>
      </c>
      <c r="G124" s="8">
        <f>Invoerblad!G172</f>
        <v>0</v>
      </c>
      <c r="H124" t="s">
        <v>28</v>
      </c>
    </row>
    <row r="125" spans="2:5" ht="12.75">
      <c r="B125" t="s">
        <v>97</v>
      </c>
      <c r="D125" s="8">
        <f>Invoerblad!D173</f>
        <v>0</v>
      </c>
      <c r="E125" t="s">
        <v>98</v>
      </c>
    </row>
    <row r="127" spans="1:6" ht="12.75">
      <c r="A127" t="s">
        <v>99</v>
      </c>
      <c r="C127" s="69">
        <f>Invoerblad!C175</f>
        <v>0</v>
      </c>
      <c r="D127" t="s">
        <v>100</v>
      </c>
      <c r="F127" s="71">
        <f>Invoerblad!F175</f>
        <v>0</v>
      </c>
    </row>
    <row r="129" ht="12.75">
      <c r="A129" t="s">
        <v>101</v>
      </c>
    </row>
    <row r="130" spans="2:8" ht="12.75">
      <c r="B130" t="s">
        <v>94</v>
      </c>
      <c r="C130" s="8">
        <f>Invoerblad!C178</f>
        <v>0</v>
      </c>
      <c r="D130" t="s">
        <v>95</v>
      </c>
      <c r="E130" s="8">
        <f>Invoerblad!E178</f>
        <v>0</v>
      </c>
      <c r="F130" t="s">
        <v>96</v>
      </c>
      <c r="G130" s="8">
        <f>Invoerblad!G178</f>
        <v>0</v>
      </c>
      <c r="H130" t="s">
        <v>28</v>
      </c>
    </row>
    <row r="131" spans="2:5" ht="12.75">
      <c r="B131" t="s">
        <v>97</v>
      </c>
      <c r="D131" s="8">
        <f>Invoerblad!D179</f>
        <v>0</v>
      </c>
      <c r="E131" t="s">
        <v>98</v>
      </c>
    </row>
    <row r="133" spans="1:5" ht="12.75">
      <c r="A133" t="s">
        <v>102</v>
      </c>
      <c r="E133" s="52">
        <f>Invoerblad!E181</f>
        <v>0</v>
      </c>
    </row>
    <row r="135" spans="1:6" ht="12.75">
      <c r="A135" t="s">
        <v>104</v>
      </c>
      <c r="F135" s="69">
        <f>Invoerblad!F183</f>
        <v>0</v>
      </c>
    </row>
    <row r="136" spans="4:7" ht="12.75">
      <c r="D136" t="s">
        <v>105</v>
      </c>
      <c r="F136" s="8">
        <f>Invoerblad!F184</f>
        <v>0</v>
      </c>
      <c r="G136" t="s">
        <v>106</v>
      </c>
    </row>
    <row r="140" ht="12.75">
      <c r="A140" s="38" t="s">
        <v>377</v>
      </c>
    </row>
    <row r="143" spans="1:9" ht="12.75">
      <c r="A143" s="178" t="s">
        <v>281</v>
      </c>
      <c r="B143" s="176"/>
      <c r="C143" s="177"/>
      <c r="D143" s="178" t="s">
        <v>282</v>
      </c>
      <c r="E143" s="176"/>
      <c r="F143" s="177"/>
      <c r="G143" s="178" t="s">
        <v>283</v>
      </c>
      <c r="H143" s="176"/>
      <c r="I143" s="177"/>
    </row>
    <row r="144" spans="1:9" ht="12.75">
      <c r="A144" s="11" t="s">
        <v>284</v>
      </c>
      <c r="B144" s="80"/>
      <c r="C144" s="81"/>
      <c r="D144" s="11" t="s">
        <v>285</v>
      </c>
      <c r="E144" s="176" t="s">
        <v>286</v>
      </c>
      <c r="F144" s="177"/>
      <c r="G144" s="178">
        <f>(D67*1.2)/10</f>
        <v>0</v>
      </c>
      <c r="H144" s="176"/>
      <c r="I144" s="81" t="s">
        <v>37</v>
      </c>
    </row>
    <row r="145" spans="1:9" ht="12.75">
      <c r="A145" s="19" t="s">
        <v>287</v>
      </c>
      <c r="B145" s="20"/>
      <c r="C145" s="21"/>
      <c r="D145" s="11" t="s">
        <v>285</v>
      </c>
      <c r="E145" s="176" t="s">
        <v>288</v>
      </c>
      <c r="F145" s="177"/>
      <c r="G145" s="178">
        <f>(F67*1.2)/10</f>
        <v>0</v>
      </c>
      <c r="H145" s="176"/>
      <c r="I145" s="81" t="s">
        <v>37</v>
      </c>
    </row>
    <row r="146" spans="1:9" ht="12.75">
      <c r="A146" s="15" t="s">
        <v>289</v>
      </c>
      <c r="B146" s="16"/>
      <c r="C146" s="17"/>
      <c r="D146" s="11" t="s">
        <v>285</v>
      </c>
      <c r="E146" s="176" t="s">
        <v>290</v>
      </c>
      <c r="F146" s="177"/>
      <c r="G146" s="178">
        <f>(G105*3)/10</f>
        <v>0</v>
      </c>
      <c r="H146" s="176"/>
      <c r="I146" s="81" t="s">
        <v>37</v>
      </c>
    </row>
    <row r="147" spans="1:9" ht="12.75">
      <c r="A147" s="11" t="s">
        <v>291</v>
      </c>
      <c r="B147" s="80"/>
      <c r="C147" s="81"/>
      <c r="D147" s="11" t="s">
        <v>285</v>
      </c>
      <c r="E147" s="176" t="s">
        <v>292</v>
      </c>
      <c r="F147" s="177"/>
      <c r="G147" s="178">
        <f>(G105*10)/10</f>
        <v>0</v>
      </c>
      <c r="H147" s="176"/>
      <c r="I147" s="81" t="s">
        <v>37</v>
      </c>
    </row>
    <row r="148" spans="1:9" ht="12.75" customHeight="1">
      <c r="A148" s="23" t="s">
        <v>293</v>
      </c>
      <c r="B148" s="24"/>
      <c r="C148" s="25"/>
      <c r="D148" s="11" t="s">
        <v>285</v>
      </c>
      <c r="E148" s="176" t="s">
        <v>294</v>
      </c>
      <c r="F148" s="177"/>
      <c r="G148" s="178">
        <f>(F103*8)/10</f>
        <v>0</v>
      </c>
      <c r="H148" s="176"/>
      <c r="I148" s="81" t="s">
        <v>37</v>
      </c>
    </row>
    <row r="149" spans="1:9" ht="12.75" customHeight="1">
      <c r="A149" s="19" t="s">
        <v>295</v>
      </c>
      <c r="B149" s="20"/>
      <c r="C149" s="21"/>
      <c r="D149" s="11" t="s">
        <v>285</v>
      </c>
      <c r="E149" s="176" t="s">
        <v>296</v>
      </c>
      <c r="F149" s="177"/>
      <c r="G149" s="178">
        <f>(G105*5)/10</f>
        <v>0</v>
      </c>
      <c r="H149" s="176"/>
      <c r="I149" s="81" t="s">
        <v>37</v>
      </c>
    </row>
    <row r="150" spans="1:9" ht="12.75">
      <c r="A150" s="11" t="s">
        <v>297</v>
      </c>
      <c r="B150" s="80"/>
      <c r="C150" s="81"/>
      <c r="D150" s="11" t="s">
        <v>285</v>
      </c>
      <c r="E150" s="176" t="s">
        <v>296</v>
      </c>
      <c r="F150" s="177"/>
      <c r="G150" s="178">
        <f>(G105*5)/10</f>
        <v>0</v>
      </c>
      <c r="H150" s="176"/>
      <c r="I150" s="81" t="s">
        <v>37</v>
      </c>
    </row>
    <row r="152" ht="12.75" customHeight="1">
      <c r="A152" s="38" t="s">
        <v>114</v>
      </c>
    </row>
    <row r="154" spans="1:8" ht="12.75" customHeight="1">
      <c r="A154" t="s">
        <v>115</v>
      </c>
      <c r="C154" s="8">
        <f>Invoerblad!C188</f>
        <v>0</v>
      </c>
      <c r="D154" t="s">
        <v>37</v>
      </c>
      <c r="E154" t="s">
        <v>119</v>
      </c>
      <c r="G154" s="8">
        <f>Invoerblad!H188</f>
        <v>0</v>
      </c>
      <c r="H154" t="s">
        <v>37</v>
      </c>
    </row>
    <row r="155" spans="1:8" ht="12.75" customHeight="1">
      <c r="A155" t="s">
        <v>116</v>
      </c>
      <c r="C155" s="8">
        <f>Invoerblad!C189</f>
        <v>0</v>
      </c>
      <c r="D155" t="s">
        <v>37</v>
      </c>
      <c r="E155" t="s">
        <v>120</v>
      </c>
      <c r="G155" s="8">
        <f>Invoerblad!H189</f>
        <v>0</v>
      </c>
      <c r="H155" t="s">
        <v>37</v>
      </c>
    </row>
    <row r="156" spans="1:8" ht="12.75" customHeight="1">
      <c r="A156" t="s">
        <v>117</v>
      </c>
      <c r="C156" s="8">
        <f>Invoerblad!C190</f>
        <v>0</v>
      </c>
      <c r="D156" t="s">
        <v>37</v>
      </c>
      <c r="E156" t="s">
        <v>121</v>
      </c>
      <c r="G156" s="8">
        <f>Invoerblad!H190</f>
        <v>0</v>
      </c>
      <c r="H156" t="s">
        <v>37</v>
      </c>
    </row>
    <row r="157" spans="1:4" ht="12.75" customHeight="1">
      <c r="A157" t="s">
        <v>118</v>
      </c>
      <c r="C157" s="8">
        <f>Invoerblad!C191</f>
        <v>0</v>
      </c>
      <c r="D157" t="s">
        <v>37</v>
      </c>
    </row>
    <row r="158" ht="12.75" customHeight="1"/>
    <row r="159" ht="12.75" customHeight="1">
      <c r="A159" s="63" t="s">
        <v>122</v>
      </c>
    </row>
    <row r="160" ht="12.75" customHeight="1"/>
    <row r="161" spans="1:8" ht="12.75" customHeight="1">
      <c r="A161" s="1" t="s">
        <v>10</v>
      </c>
      <c r="B161" s="69">
        <f>Invoerblad!B196</f>
        <v>0</v>
      </c>
      <c r="C161" s="1" t="s">
        <v>90</v>
      </c>
      <c r="D161" s="71">
        <f>Invoerblad!D196</f>
        <v>0</v>
      </c>
      <c r="E161" s="1" t="s">
        <v>123</v>
      </c>
      <c r="H161" s="69">
        <f>Invoerblad!H196</f>
        <v>0</v>
      </c>
    </row>
    <row r="163" spans="1:6" ht="12.75">
      <c r="A163" s="1" t="s">
        <v>124</v>
      </c>
      <c r="E163" s="71">
        <f>Invoerblad!E198</f>
        <v>0</v>
      </c>
      <c r="F163" t="s">
        <v>30</v>
      </c>
    </row>
    <row r="164" ht="12.75" customHeight="1"/>
    <row r="165" spans="1:5" ht="12.75">
      <c r="A165" s="1" t="s">
        <v>32</v>
      </c>
      <c r="D165" s="71">
        <f>Invoerblad!D200</f>
        <v>0</v>
      </c>
      <c r="E165" t="s">
        <v>33</v>
      </c>
    </row>
    <row r="166" ht="12.75">
      <c r="I166" s="8" t="s">
        <v>103</v>
      </c>
    </row>
    <row r="167" ht="12.75">
      <c r="A167" s="63" t="s">
        <v>125</v>
      </c>
    </row>
    <row r="169" spans="1:9" ht="12.75">
      <c r="A169" s="1" t="s">
        <v>123</v>
      </c>
      <c r="D169" s="69">
        <f>Invoerblad!D205</f>
        <v>0</v>
      </c>
      <c r="E169" s="1" t="s">
        <v>126</v>
      </c>
      <c r="H169" s="8">
        <f>Invoerblad!H205</f>
        <v>0</v>
      </c>
      <c r="I169" t="s">
        <v>127</v>
      </c>
    </row>
    <row r="171" spans="1:3" ht="12.75">
      <c r="A171" s="1" t="s">
        <v>128</v>
      </c>
      <c r="C171" s="69">
        <f>Invoerblad!D207</f>
        <v>0</v>
      </c>
    </row>
    <row r="173" spans="1:6" ht="12.75">
      <c r="A173" s="1"/>
      <c r="F173" s="8"/>
    </row>
    <row r="174" spans="1:6" ht="12.75">
      <c r="A174" t="s">
        <v>129</v>
      </c>
      <c r="E174" s="8">
        <f>Invoerblad!E212</f>
        <v>0</v>
      </c>
      <c r="F174" t="s">
        <v>24</v>
      </c>
    </row>
    <row r="176" spans="1:6" ht="12.75">
      <c r="A176" t="s">
        <v>130</v>
      </c>
      <c r="E176" s="8">
        <f>Invoerblad!E214</f>
        <v>0</v>
      </c>
      <c r="F176" t="s">
        <v>24</v>
      </c>
    </row>
    <row r="178" spans="1:6" ht="12.75">
      <c r="A178" t="s">
        <v>131</v>
      </c>
      <c r="E178" s="8">
        <f>Invoerblad!E216</f>
        <v>0</v>
      </c>
      <c r="F178" t="s">
        <v>28</v>
      </c>
    </row>
    <row r="180" spans="1:6" ht="12.75">
      <c r="A180" t="s">
        <v>132</v>
      </c>
      <c r="E180" s="8">
        <f>Invoerblad!E218</f>
        <v>0</v>
      </c>
      <c r="F180" t="s">
        <v>28</v>
      </c>
    </row>
    <row r="182" spans="1:7" ht="12.75">
      <c r="A182" s="1" t="s">
        <v>447</v>
      </c>
      <c r="F182" s="8">
        <f>F103</f>
        <v>0</v>
      </c>
      <c r="G182" t="s">
        <v>50</v>
      </c>
    </row>
    <row r="184" ht="12.75">
      <c r="A184" s="63" t="s">
        <v>298</v>
      </c>
    </row>
    <row r="186" spans="1:8" ht="12.75">
      <c r="A186" t="s">
        <v>299</v>
      </c>
      <c r="C186" s="87">
        <f>C99</f>
        <v>0</v>
      </c>
      <c r="G186" s="86">
        <f>IF(C186=0,0,IF(E188&gt;C190,(E188-C190),IF(C190&gt;E188,(C190-E188))))</f>
        <v>0</v>
      </c>
      <c r="H186" t="s">
        <v>50</v>
      </c>
    </row>
    <row r="188" ht="12.75">
      <c r="E188" s="88">
        <f>C99</f>
        <v>0</v>
      </c>
    </row>
    <row r="190" spans="1:8" ht="12.75">
      <c r="A190" t="s">
        <v>300</v>
      </c>
      <c r="C190" s="86"/>
      <c r="G190" s="87">
        <f>IF(C186=0,0,IF(C186=E188,0))</f>
        <v>0</v>
      </c>
      <c r="H190" t="s">
        <v>50</v>
      </c>
    </row>
    <row r="192" spans="1:7" ht="12.75">
      <c r="A192" s="1" t="s">
        <v>301</v>
      </c>
      <c r="F192" s="10">
        <f>D95</f>
        <v>0</v>
      </c>
      <c r="G192" t="s">
        <v>26</v>
      </c>
    </row>
    <row r="195" spans="5:7" ht="12.75">
      <c r="E195" s="8" t="s">
        <v>302</v>
      </c>
      <c r="F195" s="89">
        <f>IF(C186=0,0,IF(C186&gt;10,-30,IF(C186&gt;6,-25,IF(C186&lt;=6,-20))))</f>
        <v>0</v>
      </c>
      <c r="G195" t="s">
        <v>303</v>
      </c>
    </row>
    <row r="196" spans="6:7" ht="12.75">
      <c r="F196" s="10">
        <f>F195+F192</f>
        <v>0</v>
      </c>
      <c r="G196" t="s">
        <v>304</v>
      </c>
    </row>
    <row r="199" ht="12.75">
      <c r="A199" s="38" t="s">
        <v>305</v>
      </c>
    </row>
    <row r="201" spans="1:7" ht="12.75">
      <c r="A201" s="73">
        <f>G186</f>
        <v>0</v>
      </c>
      <c r="B201" t="s">
        <v>306</v>
      </c>
      <c r="C201" s="10">
        <f>G190</f>
        <v>0</v>
      </c>
      <c r="D201" t="s">
        <v>307</v>
      </c>
      <c r="F201" s="4" t="s">
        <v>308</v>
      </c>
      <c r="G201" s="90">
        <f>G190</f>
        <v>0</v>
      </c>
    </row>
    <row r="202" spans="6:7" ht="12.75">
      <c r="F202" s="4"/>
      <c r="G202" s="73">
        <f>G186</f>
        <v>0</v>
      </c>
    </row>
    <row r="203" spans="1:9" ht="38.25">
      <c r="A203" s="127">
        <f>IF(F182&gt;F173,F182,F173)</f>
        <v>0</v>
      </c>
      <c r="B203" s="127" t="s">
        <v>309</v>
      </c>
      <c r="C203" s="132">
        <f>A203</f>
        <v>0</v>
      </c>
      <c r="D203" s="132" t="s">
        <v>310</v>
      </c>
      <c r="E203" s="132">
        <f>G201</f>
        <v>0</v>
      </c>
      <c r="F203" s="4" t="s">
        <v>311</v>
      </c>
      <c r="G203" s="128">
        <f>IF(C186=0,0,IF(E188=C186,0,(C203*E203)/D204))</f>
        <v>0</v>
      </c>
      <c r="H203" s="4" t="s">
        <v>307</v>
      </c>
      <c r="I203" s="4"/>
    </row>
    <row r="204" spans="1:9" ht="12.75">
      <c r="A204" s="127"/>
      <c r="B204" s="127"/>
      <c r="D204" s="73">
        <f>G202</f>
        <v>0</v>
      </c>
      <c r="F204" s="4"/>
      <c r="G204" s="128"/>
      <c r="H204" s="4"/>
      <c r="I204" s="4"/>
    </row>
    <row r="205" spans="1:9" ht="12.75">
      <c r="A205" s="1" t="s">
        <v>312</v>
      </c>
      <c r="C205" s="8">
        <f>A203</f>
        <v>0</v>
      </c>
      <c r="D205" t="s">
        <v>313</v>
      </c>
      <c r="E205" s="10">
        <f>G203</f>
        <v>0</v>
      </c>
      <c r="F205" t="s">
        <v>314</v>
      </c>
      <c r="H205" s="3">
        <f>C205+E205</f>
        <v>0</v>
      </c>
      <c r="I205" t="s">
        <v>315</v>
      </c>
    </row>
    <row r="206" ht="12.75">
      <c r="A206" s="38" t="s">
        <v>225</v>
      </c>
    </row>
    <row r="208" spans="1:5" ht="12.75">
      <c r="A208" s="8">
        <f>D101</f>
        <v>0</v>
      </c>
      <c r="B208" t="s">
        <v>316</v>
      </c>
      <c r="D208" s="8">
        <f>A208*18</f>
        <v>0</v>
      </c>
      <c r="E208" t="s">
        <v>26</v>
      </c>
    </row>
    <row r="213" spans="1:4" ht="12.75">
      <c r="A213" s="1" t="s">
        <v>317</v>
      </c>
      <c r="C213" s="8">
        <f>D208</f>
        <v>0</v>
      </c>
      <c r="D213" t="s">
        <v>26</v>
      </c>
    </row>
    <row r="214" spans="2:4" ht="12.75">
      <c r="B214" s="8" t="s">
        <v>310</v>
      </c>
      <c r="C214" s="90">
        <f>H205</f>
        <v>0</v>
      </c>
      <c r="D214" t="s">
        <v>50</v>
      </c>
    </row>
    <row r="215" spans="1:4" ht="12.75">
      <c r="A215" s="1" t="s">
        <v>318</v>
      </c>
      <c r="C215" s="10">
        <f>(C213*C214)/1000</f>
        <v>0</v>
      </c>
      <c r="D215" t="s">
        <v>319</v>
      </c>
    </row>
    <row r="217" spans="1:4" ht="12.75">
      <c r="A217" s="1" t="s">
        <v>320</v>
      </c>
      <c r="C217" s="74">
        <f>F196</f>
        <v>0</v>
      </c>
      <c r="D217" t="s">
        <v>26</v>
      </c>
    </row>
    <row r="218" spans="2:4" ht="12.75">
      <c r="B218" s="8" t="s">
        <v>310</v>
      </c>
      <c r="C218" s="89">
        <f>A203</f>
        <v>0</v>
      </c>
      <c r="D218" t="s">
        <v>50</v>
      </c>
    </row>
    <row r="219" spans="1:4" ht="12.75">
      <c r="A219" s="1" t="s">
        <v>318</v>
      </c>
      <c r="C219" s="10">
        <f>(C217*C218)/1000</f>
        <v>0</v>
      </c>
      <c r="D219" t="s">
        <v>319</v>
      </c>
    </row>
    <row r="220" ht="12.75">
      <c r="I220" s="8" t="s">
        <v>439</v>
      </c>
    </row>
    <row r="221" ht="12.75">
      <c r="A221" s="1" t="s">
        <v>321</v>
      </c>
    </row>
    <row r="222" spans="3:4" ht="12.75">
      <c r="C222" s="10">
        <f>C215</f>
        <v>0</v>
      </c>
      <c r="D222" t="s">
        <v>322</v>
      </c>
    </row>
    <row r="223" spans="2:4" ht="12.75">
      <c r="B223" s="8" t="s">
        <v>302</v>
      </c>
      <c r="C223" s="90">
        <f>C219</f>
        <v>0</v>
      </c>
      <c r="D223" t="s">
        <v>323</v>
      </c>
    </row>
    <row r="224" spans="1:4" ht="12.75">
      <c r="A224" s="1" t="s">
        <v>318</v>
      </c>
      <c r="C224" s="10">
        <f>C222-C223</f>
        <v>0</v>
      </c>
      <c r="D224" t="s">
        <v>324</v>
      </c>
    </row>
    <row r="226" ht="12.75">
      <c r="A226" s="72" t="s">
        <v>325</v>
      </c>
    </row>
    <row r="228" ht="12.75">
      <c r="A228" s="1" t="s">
        <v>326</v>
      </c>
    </row>
    <row r="230" spans="4:5" ht="12.75">
      <c r="D230" s="10">
        <f>G203</f>
        <v>0</v>
      </c>
      <c r="E230" t="s">
        <v>50</v>
      </c>
    </row>
    <row r="231" spans="1:5" ht="12.75">
      <c r="A231" s="8" t="s">
        <v>302</v>
      </c>
      <c r="B231" s="10">
        <f>C224</f>
        <v>0</v>
      </c>
      <c r="C231" s="8" t="s">
        <v>327</v>
      </c>
      <c r="D231" s="90">
        <f>B231*0.6</f>
        <v>0</v>
      </c>
      <c r="E231" t="s">
        <v>328</v>
      </c>
    </row>
    <row r="233" spans="3:5" ht="12.75">
      <c r="C233" s="1" t="s">
        <v>318</v>
      </c>
      <c r="D233" s="10">
        <f>D230-D231</f>
        <v>0</v>
      </c>
      <c r="E233" t="s">
        <v>329</v>
      </c>
    </row>
    <row r="238" ht="12.75">
      <c r="A238" s="38" t="s">
        <v>330</v>
      </c>
    </row>
    <row r="240" spans="1:6" ht="12.75">
      <c r="A240" s="91" t="s">
        <v>137</v>
      </c>
      <c r="B240" s="178" t="s">
        <v>331</v>
      </c>
      <c r="C240" s="176"/>
      <c r="D240" s="177"/>
      <c r="E240" s="178" t="s">
        <v>332</v>
      </c>
      <c r="F240" s="177"/>
    </row>
    <row r="241" spans="1:6" ht="12.75">
      <c r="A241" s="92">
        <f>Invoerblad!B224</f>
        <v>0</v>
      </c>
      <c r="B241" s="178" t="s">
        <v>333</v>
      </c>
      <c r="C241" s="176"/>
      <c r="D241" s="177"/>
      <c r="E241" s="93">
        <f>$C$224/3</f>
        <v>0</v>
      </c>
      <c r="F241" s="94" t="s">
        <v>49</v>
      </c>
    </row>
    <row r="242" spans="1:6" ht="12.75">
      <c r="A242" s="92">
        <f>Invoerblad!B225</f>
        <v>0</v>
      </c>
      <c r="B242" s="178" t="s">
        <v>334</v>
      </c>
      <c r="C242" s="176"/>
      <c r="D242" s="177"/>
      <c r="E242" s="93">
        <f>$C$224/3</f>
        <v>0</v>
      </c>
      <c r="F242" s="13" t="s">
        <v>49</v>
      </c>
    </row>
    <row r="243" spans="1:6" ht="12.75">
      <c r="A243" s="95">
        <f>Invoerblad!B226</f>
        <v>0</v>
      </c>
      <c r="B243" s="178" t="s">
        <v>335</v>
      </c>
      <c r="C243" s="176"/>
      <c r="D243" s="177"/>
      <c r="E243" s="82">
        <f>$C$224/3</f>
        <v>0</v>
      </c>
      <c r="F243" s="68" t="s">
        <v>49</v>
      </c>
    </row>
    <row r="246" ht="12.75">
      <c r="A246" s="38" t="s">
        <v>341</v>
      </c>
    </row>
    <row r="249" spans="2:9" ht="12.75">
      <c r="B249" s="97" t="s">
        <v>137</v>
      </c>
      <c r="C249" s="98" t="s">
        <v>138</v>
      </c>
      <c r="D249" s="99" t="s">
        <v>95</v>
      </c>
      <c r="E249" s="98" t="s">
        <v>139</v>
      </c>
      <c r="F249" s="178" t="s">
        <v>140</v>
      </c>
      <c r="G249" s="177"/>
      <c r="H249" s="178" t="s">
        <v>342</v>
      </c>
      <c r="I249" s="177"/>
    </row>
    <row r="250" spans="2:9" ht="12.75" customHeight="1">
      <c r="B250" s="95">
        <f>Invoerblad!B237</f>
        <v>0</v>
      </c>
      <c r="C250" s="91">
        <f>Invoerblad!C237</f>
        <v>0</v>
      </c>
      <c r="D250" s="100">
        <f>Invoerblad!D237</f>
        <v>0</v>
      </c>
      <c r="E250" s="91">
        <f>Invoerblad!E237</f>
        <v>0</v>
      </c>
      <c r="F250" s="8">
        <f>Invoerblad!F237</f>
        <v>0</v>
      </c>
      <c r="G250" s="20" t="s">
        <v>50</v>
      </c>
      <c r="H250" s="84">
        <f>Invoerblad!H237</f>
        <v>0</v>
      </c>
      <c r="I250" s="17" t="s">
        <v>37</v>
      </c>
    </row>
    <row r="251" spans="2:9" ht="12.75">
      <c r="B251" s="95">
        <f>Invoerblad!B238</f>
        <v>0</v>
      </c>
      <c r="C251" s="88">
        <f>Invoerblad!C238</f>
        <v>0</v>
      </c>
      <c r="D251" s="12">
        <f>Invoerblad!D238</f>
        <v>0</v>
      </c>
      <c r="E251" s="88">
        <f>Invoerblad!E238</f>
        <v>0</v>
      </c>
      <c r="F251" s="79">
        <f>Invoerblad!F238</f>
        <v>0</v>
      </c>
      <c r="G251" s="81" t="s">
        <v>50</v>
      </c>
      <c r="H251" s="79">
        <f>Invoerblad!H238</f>
        <v>0</v>
      </c>
      <c r="I251" s="81" t="s">
        <v>37</v>
      </c>
    </row>
    <row r="252" spans="2:9" ht="12.75">
      <c r="B252" s="95">
        <f>Invoerblad!B239</f>
        <v>0</v>
      </c>
      <c r="C252" s="88">
        <f>Invoerblad!C239</f>
        <v>0</v>
      </c>
      <c r="D252" s="12">
        <f>Invoerblad!D239</f>
        <v>0</v>
      </c>
      <c r="E252" s="88">
        <f>Invoerblad!E239</f>
        <v>0</v>
      </c>
      <c r="F252" s="83">
        <f>Invoerblad!F239</f>
        <v>0</v>
      </c>
      <c r="G252" s="20" t="s">
        <v>50</v>
      </c>
      <c r="H252" s="79">
        <f>Invoerblad!H239</f>
        <v>0</v>
      </c>
      <c r="I252" s="81" t="s">
        <v>37</v>
      </c>
    </row>
    <row r="253" spans="2:9" ht="12.75">
      <c r="B253" s="95">
        <f>Invoerblad!B240</f>
        <v>0</v>
      </c>
      <c r="C253" s="101">
        <f>Invoerblad!C240</f>
        <v>0</v>
      </c>
      <c r="D253" s="89">
        <f>Invoerblad!D240</f>
        <v>0</v>
      </c>
      <c r="E253" s="101">
        <f>Invoerblad!E240</f>
        <v>0</v>
      </c>
      <c r="F253" s="79">
        <f>Invoerblad!F240</f>
        <v>0</v>
      </c>
      <c r="G253" s="81" t="s">
        <v>50</v>
      </c>
      <c r="H253" s="85">
        <f>Invoerblad!H240</f>
        <v>0</v>
      </c>
      <c r="I253" s="25" t="s">
        <v>37</v>
      </c>
    </row>
    <row r="254" spans="2:9" ht="12.75">
      <c r="B254" s="95">
        <f>Invoerblad!B241</f>
        <v>0</v>
      </c>
      <c r="C254" s="101">
        <f>Invoerblad!C241</f>
        <v>0</v>
      </c>
      <c r="D254" s="89">
        <f>Invoerblad!D241</f>
        <v>0</v>
      </c>
      <c r="E254" s="101">
        <f>Invoerblad!E241</f>
        <v>0</v>
      </c>
      <c r="F254" s="79">
        <f>Invoerblad!F241</f>
        <v>0</v>
      </c>
      <c r="G254" s="81" t="s">
        <v>50</v>
      </c>
      <c r="H254" s="85">
        <f>Invoerblad!H241</f>
        <v>0</v>
      </c>
      <c r="I254" s="25" t="s">
        <v>37</v>
      </c>
    </row>
    <row r="257" ht="12.75">
      <c r="A257" s="63" t="s">
        <v>142</v>
      </c>
    </row>
    <row r="259" spans="1:5" ht="12.75">
      <c r="A259" s="1" t="s">
        <v>143</v>
      </c>
      <c r="D259" t="s">
        <v>10</v>
      </c>
      <c r="E259" s="69">
        <f>Invoerblad!E246</f>
        <v>0</v>
      </c>
    </row>
    <row r="260" spans="1:5" ht="12.75" customHeight="1">
      <c r="A260" s="1" t="s">
        <v>144</v>
      </c>
      <c r="D260" t="s">
        <v>10</v>
      </c>
      <c r="E260" s="69">
        <f>Invoerblad!E247</f>
        <v>0</v>
      </c>
    </row>
    <row r="261" spans="1:5" ht="12.75">
      <c r="A261" t="s">
        <v>145</v>
      </c>
      <c r="D261" s="8">
        <f>Invoerblad!D248</f>
        <v>0</v>
      </c>
      <c r="E261" t="s">
        <v>146</v>
      </c>
    </row>
    <row r="262" spans="1:5" ht="12.75">
      <c r="A262" t="s">
        <v>147</v>
      </c>
      <c r="D262" s="8">
        <f>Invoerblad!D249</f>
        <v>0</v>
      </c>
      <c r="E262" t="s">
        <v>146</v>
      </c>
    </row>
    <row r="263" spans="1:5" ht="12.75">
      <c r="A263" s="1" t="s">
        <v>148</v>
      </c>
      <c r="D263" t="s">
        <v>10</v>
      </c>
      <c r="E263" s="69">
        <f>Invoerblad!E250</f>
        <v>0</v>
      </c>
    </row>
    <row r="264" spans="1:5" ht="12.75">
      <c r="A264" t="s">
        <v>149</v>
      </c>
      <c r="D264" s="8">
        <f>Invoerblad!D251</f>
        <v>0</v>
      </c>
      <c r="E264" t="s">
        <v>146</v>
      </c>
    </row>
    <row r="265" spans="1:5" ht="12.75">
      <c r="A265" t="s">
        <v>147</v>
      </c>
      <c r="D265" s="8">
        <f>Invoerblad!D252</f>
        <v>0</v>
      </c>
      <c r="E265" t="s">
        <v>146</v>
      </c>
    </row>
    <row r="266" spans="1:5" ht="12.75">
      <c r="A266" s="1" t="s">
        <v>150</v>
      </c>
      <c r="B266" s="1"/>
      <c r="D266" t="s">
        <v>10</v>
      </c>
      <c r="E266" s="69">
        <f>Invoerblad!E253</f>
        <v>0</v>
      </c>
    </row>
    <row r="267" spans="1:5" ht="12.75">
      <c r="A267" t="s">
        <v>151</v>
      </c>
      <c r="D267" s="8">
        <f>Invoerblad!D254</f>
        <v>0</v>
      </c>
      <c r="E267" t="s">
        <v>37</v>
      </c>
    </row>
    <row r="268" spans="1:5" ht="12.75">
      <c r="A268" s="1" t="s">
        <v>152</v>
      </c>
      <c r="B268" s="1"/>
      <c r="D268" t="s">
        <v>10</v>
      </c>
      <c r="E268" s="69">
        <f>Invoerblad!E255</f>
        <v>0</v>
      </c>
    </row>
    <row r="269" spans="1:5" ht="12.75">
      <c r="A269" t="s">
        <v>153</v>
      </c>
      <c r="D269" s="8">
        <f>Invoerblad!D256</f>
        <v>0</v>
      </c>
      <c r="E269" t="s">
        <v>154</v>
      </c>
    </row>
    <row r="270" spans="1:5" ht="12.75">
      <c r="A270" s="1" t="s">
        <v>155</v>
      </c>
      <c r="B270" s="1"/>
      <c r="D270" t="s">
        <v>10</v>
      </c>
      <c r="E270" s="69">
        <f>Invoerblad!E257</f>
        <v>0</v>
      </c>
    </row>
    <row r="271" spans="1:5" ht="12.75">
      <c r="A271" t="s">
        <v>73</v>
      </c>
      <c r="D271" s="8">
        <f>Invoerblad!D258</f>
        <v>0</v>
      </c>
      <c r="E271" s="69" t="s">
        <v>156</v>
      </c>
    </row>
    <row r="272" spans="1:5" ht="12.75">
      <c r="A272" s="1" t="s">
        <v>157</v>
      </c>
      <c r="B272" s="1"/>
      <c r="D272" t="s">
        <v>10</v>
      </c>
      <c r="E272" s="69">
        <f>Invoerblad!E259</f>
        <v>0</v>
      </c>
    </row>
    <row r="273" spans="1:5" ht="12.75">
      <c r="A273" t="s">
        <v>158</v>
      </c>
      <c r="D273" s="8">
        <f>Invoerblad!D260</f>
        <v>0</v>
      </c>
      <c r="E273" t="s">
        <v>37</v>
      </c>
    </row>
    <row r="276" spans="1:9" ht="12.75">
      <c r="A276" s="63" t="s">
        <v>159</v>
      </c>
      <c r="I276" s="8" t="s">
        <v>440</v>
      </c>
    </row>
    <row r="278" spans="1:7" ht="12.75">
      <c r="A278" t="s">
        <v>10</v>
      </c>
      <c r="B278" s="69">
        <f>Invoerblad!B265</f>
        <v>0</v>
      </c>
      <c r="D278" s="8">
        <f>Invoerblad!D265</f>
        <v>0</v>
      </c>
      <c r="E278" t="s">
        <v>160</v>
      </c>
      <c r="F278" t="s">
        <v>161</v>
      </c>
      <c r="G278" s="8">
        <f>Invoerblad!G265</f>
        <v>0</v>
      </c>
    </row>
    <row r="279" spans="1:7" ht="12.75">
      <c r="A279" t="s">
        <v>10</v>
      </c>
      <c r="B279" s="69">
        <f>Invoerblad!B266</f>
        <v>0</v>
      </c>
      <c r="D279" s="8">
        <f>Invoerblad!D266</f>
        <v>0</v>
      </c>
      <c r="E279" t="s">
        <v>160</v>
      </c>
      <c r="F279" t="s">
        <v>161</v>
      </c>
      <c r="G279" s="8">
        <f>Invoerblad!G266</f>
        <v>0</v>
      </c>
    </row>
    <row r="280" spans="1:7" ht="12.75">
      <c r="A280" t="s">
        <v>10</v>
      </c>
      <c r="B280" s="69">
        <f>Invoerblad!B267</f>
        <v>0</v>
      </c>
      <c r="D280" s="8">
        <f>Invoerblad!D267</f>
        <v>0</v>
      </c>
      <c r="E280" t="s">
        <v>160</v>
      </c>
      <c r="F280" t="s">
        <v>161</v>
      </c>
      <c r="G280" s="8">
        <f>Invoerblad!G267</f>
        <v>0</v>
      </c>
    </row>
    <row r="283" ht="12.75">
      <c r="A283" s="63" t="s">
        <v>162</v>
      </c>
    </row>
    <row r="285" spans="1:5" ht="12.75">
      <c r="A285" t="s">
        <v>10</v>
      </c>
      <c r="B285" s="69">
        <f>Invoerblad!B272</f>
        <v>0</v>
      </c>
      <c r="D285" s="8">
        <f>Invoerblad!D272</f>
        <v>0</v>
      </c>
      <c r="E285" t="s">
        <v>163</v>
      </c>
    </row>
    <row r="286" spans="1:5" ht="12.75">
      <c r="A286" t="s">
        <v>10</v>
      </c>
      <c r="B286" s="69">
        <f>Invoerblad!B273</f>
        <v>0</v>
      </c>
      <c r="D286" s="8">
        <f>Invoerblad!D273</f>
        <v>0</v>
      </c>
      <c r="E286" t="s">
        <v>163</v>
      </c>
    </row>
    <row r="287" spans="1:5" ht="12.75">
      <c r="A287" t="s">
        <v>10</v>
      </c>
      <c r="B287" s="69">
        <f>Invoerblad!B274</f>
        <v>0</v>
      </c>
      <c r="D287" s="8">
        <f>Invoerblad!D274</f>
        <v>0</v>
      </c>
      <c r="E287" t="s">
        <v>163</v>
      </c>
    </row>
    <row r="288" spans="1:5" ht="12.75">
      <c r="A288" t="s">
        <v>10</v>
      </c>
      <c r="B288" s="69">
        <f>Invoerblad!B275</f>
        <v>0</v>
      </c>
      <c r="D288" s="8">
        <f>Invoerblad!D275</f>
        <v>0</v>
      </c>
      <c r="E288" t="s">
        <v>163</v>
      </c>
    </row>
    <row r="289" spans="1:5" ht="12.75">
      <c r="A289" t="s">
        <v>10</v>
      </c>
      <c r="B289" s="69">
        <f>Invoerblad!B276</f>
        <v>0</v>
      </c>
      <c r="D289" s="8">
        <f>Invoerblad!D276</f>
        <v>0</v>
      </c>
      <c r="E289" t="s">
        <v>163</v>
      </c>
    </row>
    <row r="292" ht="12.75">
      <c r="A292" s="1" t="s">
        <v>169</v>
      </c>
    </row>
    <row r="294" spans="1:7" ht="12.75">
      <c r="A294" t="s">
        <v>10</v>
      </c>
      <c r="B294" s="69">
        <f>Invoerblad!B287</f>
        <v>0</v>
      </c>
      <c r="D294" t="s">
        <v>170</v>
      </c>
      <c r="F294" s="8">
        <f>Invoerblad!F287</f>
        <v>0</v>
      </c>
      <c r="G294" t="s">
        <v>171</v>
      </c>
    </row>
    <row r="295" spans="1:7" ht="12.75">
      <c r="A295" t="s">
        <v>10</v>
      </c>
      <c r="B295" s="69">
        <f>Invoerblad!B288</f>
        <v>0</v>
      </c>
      <c r="D295" t="s">
        <v>170</v>
      </c>
      <c r="F295" s="8">
        <f>Invoerblad!F288</f>
        <v>0</v>
      </c>
      <c r="G295" t="s">
        <v>171</v>
      </c>
    </row>
    <row r="296" spans="1:7" ht="12.75">
      <c r="A296" t="s">
        <v>10</v>
      </c>
      <c r="B296" s="69">
        <f>Invoerblad!B289</f>
        <v>0</v>
      </c>
      <c r="D296" t="s">
        <v>170</v>
      </c>
      <c r="F296" s="8">
        <f>Invoerblad!F289</f>
        <v>0</v>
      </c>
      <c r="G296" t="s">
        <v>171</v>
      </c>
    </row>
    <row r="297" spans="1:7" ht="12.75">
      <c r="A297" t="s">
        <v>10</v>
      </c>
      <c r="B297" s="69">
        <f>Invoerblad!B290</f>
        <v>0</v>
      </c>
      <c r="D297" t="s">
        <v>170</v>
      </c>
      <c r="F297" s="8">
        <f>Invoerblad!F290</f>
        <v>0</v>
      </c>
      <c r="G297" t="s">
        <v>171</v>
      </c>
    </row>
    <row r="298" spans="1:7" ht="12.75">
      <c r="A298" t="s">
        <v>10</v>
      </c>
      <c r="B298" s="69">
        <f>Invoerblad!B291</f>
        <v>0</v>
      </c>
      <c r="D298" t="s">
        <v>170</v>
      </c>
      <c r="F298" s="8">
        <f>Invoerblad!F291</f>
        <v>0</v>
      </c>
      <c r="G298" t="s">
        <v>171</v>
      </c>
    </row>
    <row r="300" ht="12.75">
      <c r="A300" s="63" t="s">
        <v>164</v>
      </c>
    </row>
    <row r="302" spans="1:9" ht="12.75">
      <c r="A302" t="s">
        <v>165</v>
      </c>
      <c r="B302" s="8">
        <f>Invoerblad!B280</f>
        <v>0</v>
      </c>
      <c r="C302" t="s">
        <v>166</v>
      </c>
      <c r="F302" t="s">
        <v>92</v>
      </c>
      <c r="H302" s="8">
        <f>Invoerblad!H280</f>
        <v>0</v>
      </c>
      <c r="I302" t="s">
        <v>33</v>
      </c>
    </row>
    <row r="304" spans="1:9" ht="12.75">
      <c r="A304" t="s">
        <v>89</v>
      </c>
      <c r="C304" s="69">
        <f>Invoerblad!C282</f>
        <v>0</v>
      </c>
      <c r="D304" t="s">
        <v>343</v>
      </c>
      <c r="F304" s="69">
        <f>Invoerblad!F282</f>
        <v>0</v>
      </c>
      <c r="G304" t="s">
        <v>168</v>
      </c>
      <c r="H304" s="8">
        <f>Invoerblad!H282</f>
        <v>0</v>
      </c>
      <c r="I304" t="s">
        <v>127</v>
      </c>
    </row>
    <row r="307" spans="1:4" ht="12.75">
      <c r="A307" s="63" t="s">
        <v>172</v>
      </c>
      <c r="C307" t="s">
        <v>10</v>
      </c>
      <c r="D307" s="69">
        <f>Invoerblad!E294</f>
        <v>0</v>
      </c>
    </row>
    <row r="309" ht="12.75">
      <c r="A309" s="1" t="s">
        <v>173</v>
      </c>
    </row>
    <row r="311" spans="2:3" ht="12.75">
      <c r="B311" s="8">
        <f>Invoerblad!B298</f>
        <v>0</v>
      </c>
      <c r="C311" t="s">
        <v>15</v>
      </c>
    </row>
    <row r="312" spans="2:3" ht="12.75">
      <c r="B312" s="8">
        <f>Invoerblad!B299</f>
        <v>0</v>
      </c>
      <c r="C312" t="s">
        <v>174</v>
      </c>
    </row>
    <row r="313" spans="2:4" ht="12.75">
      <c r="B313" s="8">
        <f>Invoerblad!B300</f>
        <v>0</v>
      </c>
      <c r="C313" t="s">
        <v>175</v>
      </c>
      <c r="D313" t="s">
        <v>176</v>
      </c>
    </row>
    <row r="314" spans="2:3" ht="12.75">
      <c r="B314" s="8">
        <f>Invoerblad!B301</f>
        <v>0</v>
      </c>
      <c r="C314" t="s">
        <v>171</v>
      </c>
    </row>
    <row r="316" spans="1:6" ht="12.75">
      <c r="A316" s="1" t="s">
        <v>344</v>
      </c>
      <c r="F316" s="69"/>
    </row>
    <row r="318" spans="1:8" ht="12.75">
      <c r="A318" t="s">
        <v>345</v>
      </c>
      <c r="C318" s="8">
        <f>IF(D254=0,0,IF(D254&lt;995,2.5,IF(D254&lt;1005,2.5,IF(D254&gt;1005,2.5))))</f>
        <v>0</v>
      </c>
      <c r="D318" t="s">
        <v>346</v>
      </c>
      <c r="E318" s="8">
        <f>F254</f>
        <v>0</v>
      </c>
      <c r="F318" s="8" t="s">
        <v>311</v>
      </c>
      <c r="G318" s="8">
        <f>(C318*E318)/10</f>
        <v>0</v>
      </c>
      <c r="H318" t="s">
        <v>37</v>
      </c>
    </row>
    <row r="319" spans="1:8" ht="12.75">
      <c r="A319" t="s">
        <v>347</v>
      </c>
      <c r="C319" s="8">
        <f>IF(D254=0,0,IF(D254&lt;995,0.3,IF(D254&lt;1005,0.4,IF(D254&gt;1005,0.5))))</f>
        <v>0</v>
      </c>
      <c r="D319" t="s">
        <v>346</v>
      </c>
      <c r="E319" s="8">
        <f>F254</f>
        <v>0</v>
      </c>
      <c r="F319" s="8" t="s">
        <v>311</v>
      </c>
      <c r="G319" s="8">
        <f>(C319*E319)/10</f>
        <v>0</v>
      </c>
      <c r="H319" t="s">
        <v>37</v>
      </c>
    </row>
    <row r="320" spans="1:8" ht="12.75">
      <c r="A320" t="s">
        <v>348</v>
      </c>
      <c r="C320" s="8">
        <f>IF(D254=0,0,IF(D254&lt;995,0.5,IF(D254&lt;1005,1,IF(D254&gt;1005,1.5))))</f>
        <v>0</v>
      </c>
      <c r="D320" t="s">
        <v>346</v>
      </c>
      <c r="E320" s="8">
        <f>F254</f>
        <v>0</v>
      </c>
      <c r="F320" s="8" t="s">
        <v>311</v>
      </c>
      <c r="G320" s="8">
        <f>(C320*E320)/10</f>
        <v>0</v>
      </c>
      <c r="H320" t="s">
        <v>37</v>
      </c>
    </row>
    <row r="323" ht="12.75">
      <c r="A323" s="72" t="s">
        <v>349</v>
      </c>
    </row>
    <row r="324" ht="12.75">
      <c r="A324" s="72" t="s">
        <v>350</v>
      </c>
    </row>
    <row r="326" spans="1:6" ht="12.75">
      <c r="A326" s="1" t="s">
        <v>351</v>
      </c>
      <c r="E326" t="s">
        <v>10</v>
      </c>
      <c r="F326" s="69">
        <f>Invoerblad!B305</f>
        <v>0</v>
      </c>
    </row>
    <row r="328" spans="1:4" ht="12.75">
      <c r="A328" t="s">
        <v>345</v>
      </c>
      <c r="C328" s="8">
        <f>G318</f>
        <v>0</v>
      </c>
      <c r="D328" t="s">
        <v>37</v>
      </c>
    </row>
    <row r="329" spans="1:4" ht="12.75">
      <c r="A329" t="s">
        <v>347</v>
      </c>
      <c r="C329" s="8">
        <f>G319</f>
        <v>0</v>
      </c>
      <c r="D329" t="s">
        <v>37</v>
      </c>
    </row>
    <row r="330" spans="1:4" ht="12.75">
      <c r="A330" t="s">
        <v>348</v>
      </c>
      <c r="C330" s="8">
        <f>G320</f>
        <v>0</v>
      </c>
      <c r="D330" t="s">
        <v>37</v>
      </c>
    </row>
    <row r="332" spans="1:9" ht="12.75">
      <c r="A332" s="1" t="s">
        <v>178</v>
      </c>
      <c r="C332" s="8">
        <f>Invoerblad!C307</f>
        <v>0</v>
      </c>
      <c r="D332" t="s">
        <v>179</v>
      </c>
      <c r="I332" s="8" t="s">
        <v>458</v>
      </c>
    </row>
    <row r="333" spans="3:4" ht="12.75">
      <c r="C333" s="8">
        <f>Invoerblad!C308</f>
        <v>0</v>
      </c>
      <c r="D333" t="s">
        <v>180</v>
      </c>
    </row>
    <row r="334" spans="3:4" ht="12.75">
      <c r="C334" s="8">
        <f>Invoerblad!C309</f>
        <v>0</v>
      </c>
      <c r="D334" t="s">
        <v>181</v>
      </c>
    </row>
    <row r="502" ht="12.75">
      <c r="A502" s="38"/>
    </row>
    <row r="506" spans="1:3" ht="12.75">
      <c r="A506" s="1"/>
      <c r="C506" s="8"/>
    </row>
    <row r="508" ht="12.75">
      <c r="C508" s="8"/>
    </row>
    <row r="511" ht="12.75">
      <c r="A511" s="72"/>
    </row>
    <row r="516" spans="2:6" ht="12.75">
      <c r="B516" s="8"/>
      <c r="F516" s="8"/>
    </row>
    <row r="517" spans="2:6" ht="12.75">
      <c r="B517" s="8"/>
      <c r="F517" s="8"/>
    </row>
    <row r="518" spans="2:6" ht="12.75">
      <c r="B518" s="8"/>
      <c r="F518" s="8"/>
    </row>
    <row r="522" spans="2:6" ht="12.75">
      <c r="B522" s="8"/>
      <c r="F522" s="8"/>
    </row>
    <row r="523" spans="2:6" ht="12.75">
      <c r="B523" s="8"/>
      <c r="F523" s="8"/>
    </row>
    <row r="524" spans="2:6" ht="12.75">
      <c r="B524" s="8"/>
      <c r="F524" s="8"/>
    </row>
    <row r="525" ht="12.75">
      <c r="A525" s="72"/>
    </row>
    <row r="528" ht="12.75">
      <c r="A528" s="1"/>
    </row>
    <row r="530" ht="12.75">
      <c r="A530" s="75"/>
    </row>
    <row r="531" spans="1:5" ht="12.75">
      <c r="A531" s="75"/>
      <c r="D531" s="72"/>
      <c r="E531" s="72"/>
    </row>
    <row r="533" spans="3:7" ht="12.75">
      <c r="C533" s="8"/>
      <c r="G533" s="8"/>
    </row>
    <row r="534" ht="12.75">
      <c r="D534" s="8"/>
    </row>
    <row r="535" ht="12.75">
      <c r="D535" s="8"/>
    </row>
    <row r="536" ht="12.75">
      <c r="D536" s="8"/>
    </row>
    <row r="537" ht="12.75">
      <c r="D537" s="8"/>
    </row>
    <row r="539" ht="12.75">
      <c r="A539" s="1"/>
    </row>
    <row r="549" ht="12.75">
      <c r="A549" s="107"/>
    </row>
    <row r="550" ht="12.75">
      <c r="A550" s="107"/>
    </row>
    <row r="551" ht="12.75">
      <c r="A551" s="107"/>
    </row>
    <row r="553" ht="12.75">
      <c r="A553" s="46"/>
    </row>
    <row r="555" spans="2:5" ht="12.75">
      <c r="B555" s="8"/>
      <c r="E555" s="73"/>
    </row>
    <row r="557" spans="2:5" ht="12.75">
      <c r="B557" s="8"/>
      <c r="E557" s="73"/>
    </row>
    <row r="559" ht="12.75">
      <c r="C559" s="8"/>
    </row>
    <row r="561" ht="12.75">
      <c r="C561" s="74"/>
    </row>
    <row r="563" spans="1:8" ht="12.75">
      <c r="A563" s="72"/>
      <c r="F563" s="76"/>
      <c r="H563" s="77"/>
    </row>
    <row r="564" spans="1:6" ht="12.75">
      <c r="A564" s="72"/>
      <c r="F564" s="78"/>
    </row>
    <row r="565" ht="12.75">
      <c r="A565" s="72"/>
    </row>
    <row r="568" ht="12.75">
      <c r="A568" s="46"/>
    </row>
    <row r="570" spans="2:5" ht="12.75">
      <c r="B570" s="8"/>
      <c r="E570" s="8"/>
    </row>
    <row r="572" spans="2:5" ht="12.75">
      <c r="B572" s="8"/>
      <c r="E572" s="74"/>
    </row>
    <row r="574" ht="12.75">
      <c r="C574" s="8"/>
    </row>
    <row r="576" ht="12.75">
      <c r="C576" s="74"/>
    </row>
    <row r="578" ht="12.75">
      <c r="A578" s="72"/>
    </row>
    <row r="579" ht="12.75">
      <c r="A579" s="72"/>
    </row>
    <row r="580" ht="12.75">
      <c r="A580" s="72"/>
    </row>
    <row r="583" ht="12.75">
      <c r="A583" s="1"/>
    </row>
    <row r="590" ht="12.75">
      <c r="A590" s="1"/>
    </row>
    <row r="592" ht="12.75">
      <c r="D592" s="74"/>
    </row>
    <row r="594" spans="4:7" ht="12.75">
      <c r="D594" s="8"/>
      <c r="G594" s="8"/>
    </row>
    <row r="596" ht="12.75">
      <c r="E596" s="74"/>
    </row>
    <row r="598" ht="12.75">
      <c r="C598" s="8"/>
    </row>
    <row r="600" ht="12.75">
      <c r="E600" s="10"/>
    </row>
    <row r="602" ht="12.75">
      <c r="F602" s="10"/>
    </row>
    <row r="604" ht="12.75">
      <c r="F604" s="10"/>
    </row>
    <row r="606" ht="12.75">
      <c r="F606" s="10"/>
    </row>
    <row r="608" ht="12.75">
      <c r="D608" s="10"/>
    </row>
    <row r="613" ht="12.75">
      <c r="C613" s="74"/>
    </row>
    <row r="615" ht="12.75">
      <c r="C615" s="8"/>
    </row>
    <row r="618" ht="12.75">
      <c r="D618" s="8"/>
    </row>
    <row r="620" ht="12.75">
      <c r="D620" s="8"/>
    </row>
    <row r="627" ht="12.75">
      <c r="A627" s="72"/>
    </row>
    <row r="629" ht="12.75">
      <c r="A629" s="72"/>
    </row>
    <row r="636" spans="1:5" ht="12.75">
      <c r="A636" s="1"/>
      <c r="E636" s="8"/>
    </row>
    <row r="638" spans="1:4" ht="12.75">
      <c r="A638" s="1"/>
      <c r="D638" s="8"/>
    </row>
    <row r="640" ht="12.75">
      <c r="A640" s="46"/>
    </row>
    <row r="641" spans="1:2" ht="12.75">
      <c r="A641" s="46"/>
      <c r="B641" s="46"/>
    </row>
    <row r="642" ht="12.75">
      <c r="B642" s="46"/>
    </row>
    <row r="643" spans="2:5" ht="12.75">
      <c r="B643" s="8"/>
      <c r="E643" s="8"/>
    </row>
    <row r="645" spans="2:5" ht="12.75">
      <c r="B645" s="8"/>
      <c r="E645" s="74"/>
    </row>
    <row r="647" ht="12.75">
      <c r="C647" s="8"/>
    </row>
    <row r="649" ht="12.75">
      <c r="C649" s="74"/>
    </row>
    <row r="651" spans="1:8" ht="12.75">
      <c r="A651" s="72"/>
      <c r="F651" s="76"/>
      <c r="H651" s="77"/>
    </row>
    <row r="652" spans="1:6" ht="12.75">
      <c r="A652" s="72"/>
      <c r="F652" s="78"/>
    </row>
    <row r="653" ht="12.75">
      <c r="A653" s="72"/>
    </row>
    <row r="655" ht="12.75">
      <c r="A655" s="46"/>
    </row>
    <row r="656" spans="1:2" ht="12.75">
      <c r="A656" s="46"/>
      <c r="B656" s="46"/>
    </row>
    <row r="658" spans="2:5" ht="12.75">
      <c r="B658" s="8"/>
      <c r="E658" s="8"/>
    </row>
    <row r="660" spans="2:5" ht="12.75">
      <c r="B660" s="8"/>
      <c r="E660" s="74"/>
    </row>
    <row r="662" ht="12.75">
      <c r="C662" s="8"/>
    </row>
    <row r="664" ht="12.75">
      <c r="C664" s="74"/>
    </row>
    <row r="666" ht="12.75">
      <c r="A666" s="72"/>
    </row>
    <row r="667" ht="12.75">
      <c r="A667" s="72"/>
    </row>
    <row r="668" ht="12.75">
      <c r="A668" s="72"/>
    </row>
  </sheetData>
  <mergeCells count="26">
    <mergeCell ref="E240:F240"/>
    <mergeCell ref="H249:I249"/>
    <mergeCell ref="F249:G249"/>
    <mergeCell ref="B240:D240"/>
    <mergeCell ref="B241:D241"/>
    <mergeCell ref="B242:D242"/>
    <mergeCell ref="B243:D243"/>
    <mergeCell ref="A1:H1"/>
    <mergeCell ref="A106:I107"/>
    <mergeCell ref="A143:C143"/>
    <mergeCell ref="D143:F143"/>
    <mergeCell ref="G143:I143"/>
    <mergeCell ref="G148:H148"/>
    <mergeCell ref="G149:H149"/>
    <mergeCell ref="G150:H150"/>
    <mergeCell ref="G144:H144"/>
    <mergeCell ref="G145:H145"/>
    <mergeCell ref="G146:H146"/>
    <mergeCell ref="G147:H147"/>
    <mergeCell ref="E148:F148"/>
    <mergeCell ref="E149:F149"/>
    <mergeCell ref="E150:F150"/>
    <mergeCell ref="E144:F144"/>
    <mergeCell ref="E145:F145"/>
    <mergeCell ref="E146:F146"/>
    <mergeCell ref="E147:F147"/>
  </mergeCells>
  <printOptions/>
  <pageMargins left="0.5905511811023623" right="0.5905511811023623" top="0.984251968503937" bottom="0.98425196850393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69"/>
  <sheetViews>
    <sheetView workbookViewId="0" topLeftCell="A1">
      <selection activeCell="A22" sqref="A22"/>
    </sheetView>
  </sheetViews>
  <sheetFormatPr defaultColWidth="9.140625" defaultRowHeight="12.75"/>
  <sheetData>
    <row r="1" ht="12.75">
      <c r="I1" s="8" t="s">
        <v>7</v>
      </c>
    </row>
    <row r="2" spans="3:7" ht="12.75">
      <c r="C2" s="195" t="s">
        <v>209</v>
      </c>
      <c r="D2" s="196"/>
      <c r="E2" s="196"/>
      <c r="F2" s="196"/>
      <c r="G2" s="197"/>
    </row>
    <row r="4" ht="12.75">
      <c r="A4" s="102" t="s">
        <v>210</v>
      </c>
    </row>
    <row r="6" spans="1:2" ht="14.25">
      <c r="A6" s="1" t="s">
        <v>211</v>
      </c>
      <c r="B6" s="103" t="s">
        <v>212</v>
      </c>
    </row>
    <row r="8" spans="1:2" ht="14.25">
      <c r="A8" s="1" t="s">
        <v>213</v>
      </c>
      <c r="B8" s="103" t="s">
        <v>214</v>
      </c>
    </row>
    <row r="10" spans="1:2" ht="14.25">
      <c r="A10" s="1" t="s">
        <v>215</v>
      </c>
      <c r="B10" s="103" t="s">
        <v>216</v>
      </c>
    </row>
    <row r="12" spans="1:2" ht="14.25">
      <c r="A12" s="1" t="s">
        <v>217</v>
      </c>
      <c r="B12" s="103" t="s">
        <v>218</v>
      </c>
    </row>
    <row r="14" ht="12.75">
      <c r="A14" s="104" t="s">
        <v>219</v>
      </c>
    </row>
    <row r="16" spans="1:6" ht="12.75">
      <c r="A16" s="1" t="s">
        <v>211</v>
      </c>
      <c r="B16" s="8"/>
      <c r="C16" t="s">
        <v>50</v>
      </c>
      <c r="D16" s="1" t="s">
        <v>215</v>
      </c>
      <c r="E16" s="8"/>
      <c r="F16" t="s">
        <v>28</v>
      </c>
    </row>
    <row r="18" spans="1:6" ht="12.75">
      <c r="A18" s="1" t="s">
        <v>213</v>
      </c>
      <c r="B18" s="8"/>
      <c r="C18" t="s">
        <v>50</v>
      </c>
      <c r="D18" s="1" t="s">
        <v>217</v>
      </c>
      <c r="E18" s="8"/>
      <c r="F18" t="s">
        <v>28</v>
      </c>
    </row>
    <row r="20" spans="1:7" ht="12.75">
      <c r="A20" s="1" t="s">
        <v>73</v>
      </c>
      <c r="C20" s="8">
        <f>B16+B18</f>
        <v>0</v>
      </c>
      <c r="D20" t="s">
        <v>50</v>
      </c>
      <c r="E20" s="1" t="s">
        <v>27</v>
      </c>
      <c r="F20" s="73">
        <f>IF(B16=0,0,((B16*E16)+(B18*E18))/C20)</f>
        <v>0</v>
      </c>
      <c r="G20" t="s">
        <v>220</v>
      </c>
    </row>
    <row r="22" ht="12.75">
      <c r="A22" s="104" t="s">
        <v>461</v>
      </c>
    </row>
    <row r="24" spans="1:6" ht="12.75">
      <c r="A24" s="1" t="s">
        <v>211</v>
      </c>
      <c r="B24" s="8"/>
      <c r="C24" t="s">
        <v>50</v>
      </c>
      <c r="D24" s="1" t="s">
        <v>221</v>
      </c>
      <c r="E24" s="8"/>
      <c r="F24" t="s">
        <v>26</v>
      </c>
    </row>
    <row r="26" spans="1:6" ht="12.75">
      <c r="A26" s="1" t="s">
        <v>213</v>
      </c>
      <c r="B26" s="8"/>
      <c r="C26" t="s">
        <v>50</v>
      </c>
      <c r="D26" s="1" t="s">
        <v>222</v>
      </c>
      <c r="E26" s="8"/>
      <c r="F26" t="s">
        <v>26</v>
      </c>
    </row>
    <row r="28" spans="1:7" ht="12.75">
      <c r="A28" s="1" t="s">
        <v>73</v>
      </c>
      <c r="C28" s="8">
        <f>(B24+B26)</f>
        <v>0</v>
      </c>
      <c r="D28" t="s">
        <v>50</v>
      </c>
      <c r="E28" s="1" t="s">
        <v>223</v>
      </c>
      <c r="F28" s="73">
        <f>IF(B24=0,0,((B24*E24)+(B26*E26))/C28)</f>
        <v>0</v>
      </c>
      <c r="G28" t="s">
        <v>220</v>
      </c>
    </row>
    <row r="30" ht="12.75">
      <c r="A30" s="104" t="s">
        <v>224</v>
      </c>
    </row>
    <row r="32" spans="1:6" ht="12.75">
      <c r="A32" s="1" t="s">
        <v>211</v>
      </c>
      <c r="C32" t="s">
        <v>50</v>
      </c>
      <c r="D32" s="1" t="s">
        <v>225</v>
      </c>
      <c r="F32" t="s">
        <v>226</v>
      </c>
    </row>
    <row r="34" spans="1:6" ht="12.75">
      <c r="A34" s="1" t="s">
        <v>213</v>
      </c>
      <c r="C34" t="s">
        <v>50</v>
      </c>
      <c r="D34" s="1" t="s">
        <v>225</v>
      </c>
      <c r="F34" t="s">
        <v>226</v>
      </c>
    </row>
    <row r="36" spans="1:7" ht="12.75">
      <c r="A36" s="1" t="s">
        <v>73</v>
      </c>
      <c r="C36">
        <f>B32+B34</f>
        <v>0</v>
      </c>
      <c r="D36" t="s">
        <v>50</v>
      </c>
      <c r="E36" s="1" t="s">
        <v>225</v>
      </c>
      <c r="F36">
        <f>IF(B32=0,0,((B32*E32)+(B34*E34))/C36)</f>
        <v>0</v>
      </c>
      <c r="G36" t="s">
        <v>226</v>
      </c>
    </row>
    <row r="38" ht="12.75">
      <c r="A38" s="104" t="s">
        <v>227</v>
      </c>
    </row>
    <row r="40" spans="1:5" ht="12.75">
      <c r="A40" t="s">
        <v>228</v>
      </c>
      <c r="E40" t="s">
        <v>28</v>
      </c>
    </row>
    <row r="42" spans="1:5" ht="12.75">
      <c r="A42" t="s">
        <v>229</v>
      </c>
      <c r="E42" t="s">
        <v>28</v>
      </c>
    </row>
    <row r="44" spans="1:7" ht="12.75">
      <c r="A44" t="s">
        <v>230</v>
      </c>
      <c r="F44">
        <f>D40-D42</f>
        <v>0</v>
      </c>
      <c r="G44" t="s">
        <v>28</v>
      </c>
    </row>
    <row r="46" spans="1:4" ht="12.75">
      <c r="A46" t="s">
        <v>231</v>
      </c>
      <c r="D46" t="s">
        <v>50</v>
      </c>
    </row>
    <row r="48" spans="1:6" ht="12.75">
      <c r="A48" t="s">
        <v>232</v>
      </c>
      <c r="E48">
        <f>C46*F44</f>
        <v>0</v>
      </c>
      <c r="F48" t="s">
        <v>37</v>
      </c>
    </row>
    <row r="50" spans="1:7" ht="12.75">
      <c r="A50" t="s">
        <v>233</v>
      </c>
      <c r="F50">
        <f>E48*0.67</f>
        <v>0</v>
      </c>
      <c r="G50" t="s">
        <v>37</v>
      </c>
    </row>
    <row r="52" spans="1:7" ht="12.75">
      <c r="A52" t="s">
        <v>234</v>
      </c>
      <c r="F52">
        <f>IF(D40=0,0,(D40-2))</f>
        <v>0</v>
      </c>
      <c r="G52" t="s">
        <v>37</v>
      </c>
    </row>
    <row r="54" spans="1:7" ht="12.75">
      <c r="A54" t="s">
        <v>235</v>
      </c>
      <c r="F54">
        <f>IF(F52=0,0,(E48/F52))</f>
        <v>0</v>
      </c>
      <c r="G54" t="s">
        <v>50</v>
      </c>
    </row>
    <row r="56" spans="1:9" ht="12.75">
      <c r="A56" t="s">
        <v>236</v>
      </c>
      <c r="D56">
        <f>C46-F54</f>
        <v>0</v>
      </c>
      <c r="E56" t="s">
        <v>50</v>
      </c>
      <c r="I56" s="8" t="s">
        <v>52</v>
      </c>
    </row>
    <row r="59" spans="1:3" ht="12.75">
      <c r="A59" s="46" t="s">
        <v>237</v>
      </c>
      <c r="B59" s="105"/>
      <c r="C59" s="105"/>
    </row>
    <row r="61" spans="1:4" ht="12.75">
      <c r="A61" t="s">
        <v>64</v>
      </c>
      <c r="D61" t="s">
        <v>37</v>
      </c>
    </row>
    <row r="63" spans="1:5" ht="12.75">
      <c r="A63" t="s">
        <v>65</v>
      </c>
      <c r="D63" t="s">
        <v>37</v>
      </c>
      <c r="E63" t="s">
        <v>238</v>
      </c>
    </row>
    <row r="64" ht="12.75">
      <c r="E64" t="s">
        <v>239</v>
      </c>
    </row>
    <row r="65" spans="1:4" ht="12.75">
      <c r="A65" t="s">
        <v>240</v>
      </c>
      <c r="D65" t="s">
        <v>50</v>
      </c>
    </row>
    <row r="67" spans="1:5" ht="12.75">
      <c r="A67" t="s">
        <v>241</v>
      </c>
      <c r="D67">
        <f>IF(C63=0,0,IF(C63=10,VLOOKUP(C61,Opzoekingstabellen!A148:F175,2),IF(C63=9,VLOOKUP(C61,Opzoekingstabellen!A148:F175,3),IF(C63=8,VLOOKUP(C61,Opzoekingstabellen!A148:F175,4),IF(C63=7,VLOOKUP(C61,Opzoekingstabellen!A148:F175,5),IF(C63=6,VLOOKUP(C61,Opzoekingstabellen!A148:F175,6)))))))*C65/100</f>
        <v>0</v>
      </c>
      <c r="E67" t="s">
        <v>37</v>
      </c>
    </row>
    <row r="69" spans="1:5" ht="12.75">
      <c r="A69" t="s">
        <v>242</v>
      </c>
      <c r="D69">
        <f>IF(C63=0,0,IF(C63=10,VLOOKUP(C61,Opzoekingstabellen!A180:F207,2),IF(C63=9,VLOOKUP(C61,Opzoekingstabellen!A180:F207,3),IF(C63=8,VLOOKUP(C61,Opzoekingstabellen!A180:F207,4),IF(C63=7,VLOOKUP(C61,Opzoekingstabellen!A180:F207,5),IF(C63=6,VLOOKUP(C61,Opzoekingstabellen!A180:F207,6)))))))*C65/100</f>
        <v>0</v>
      </c>
      <c r="E69" t="s">
        <v>243</v>
      </c>
    </row>
  </sheetData>
  <mergeCells count="1">
    <mergeCell ref="C2:G2"/>
  </mergeCells>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I355"/>
  <sheetViews>
    <sheetView workbookViewId="0" topLeftCell="A1">
      <selection activeCell="I331" sqref="I331"/>
    </sheetView>
  </sheetViews>
  <sheetFormatPr defaultColWidth="9.140625" defaultRowHeight="12.75"/>
  <sheetData>
    <row r="1" spans="1:9" ht="12.75">
      <c r="A1" s="1" t="s">
        <v>182</v>
      </c>
      <c r="I1" s="8" t="s">
        <v>7</v>
      </c>
    </row>
    <row r="2" spans="1:5" ht="12.75">
      <c r="A2" s="1"/>
      <c r="C2" s="1" t="s">
        <v>183</v>
      </c>
      <c r="D2" s="1" t="s">
        <v>184</v>
      </c>
      <c r="E2" s="1" t="s">
        <v>185</v>
      </c>
    </row>
    <row r="3" spans="1:5" ht="12.75">
      <c r="A3" s="2">
        <v>1010</v>
      </c>
      <c r="E3">
        <v>30.5</v>
      </c>
    </row>
    <row r="4" spans="1:5" ht="12.75">
      <c r="A4" s="2">
        <v>1011</v>
      </c>
      <c r="E4">
        <v>33.1</v>
      </c>
    </row>
    <row r="5" spans="1:5" ht="12.75">
      <c r="A5" s="2">
        <v>1012</v>
      </c>
      <c r="E5">
        <v>35.7</v>
      </c>
    </row>
    <row r="6" spans="1:5" ht="12.75">
      <c r="A6" s="2">
        <v>1013</v>
      </c>
      <c r="E6">
        <v>38.3</v>
      </c>
    </row>
    <row r="7" spans="1:5" ht="12.75">
      <c r="A7" s="2">
        <v>1014</v>
      </c>
      <c r="E7">
        <v>40.9</v>
      </c>
    </row>
    <row r="8" spans="1:5" ht="12.75">
      <c r="A8" s="2">
        <v>1015</v>
      </c>
      <c r="E8">
        <v>43.5</v>
      </c>
    </row>
    <row r="9" spans="1:5" ht="12.75">
      <c r="A9" s="2">
        <v>1016</v>
      </c>
      <c r="E9">
        <v>46.1</v>
      </c>
    </row>
    <row r="10" spans="1:5" ht="12.75">
      <c r="A10" s="2">
        <v>1017</v>
      </c>
      <c r="E10">
        <v>48.7</v>
      </c>
    </row>
    <row r="11" spans="1:5" ht="12.75">
      <c r="A11" s="2">
        <v>1018</v>
      </c>
      <c r="E11">
        <v>51.3</v>
      </c>
    </row>
    <row r="12" spans="1:5" ht="12.75">
      <c r="A12" s="2">
        <v>1019</v>
      </c>
      <c r="E12">
        <v>53.9</v>
      </c>
    </row>
    <row r="13" spans="1:5" ht="12.75">
      <c r="A13" s="2">
        <v>1020</v>
      </c>
      <c r="E13">
        <v>56.5</v>
      </c>
    </row>
    <row r="14" spans="1:5" ht="12.75">
      <c r="A14" s="2">
        <v>1021</v>
      </c>
      <c r="E14">
        <v>59.1</v>
      </c>
    </row>
    <row r="15" spans="1:5" ht="12.75">
      <c r="A15" s="2">
        <v>1022</v>
      </c>
      <c r="E15">
        <v>61.7</v>
      </c>
    </row>
    <row r="16" spans="1:5" ht="12.75">
      <c r="A16" s="2">
        <v>1023</v>
      </c>
      <c r="E16">
        <v>64.3</v>
      </c>
    </row>
    <row r="17" spans="1:5" ht="12.75">
      <c r="A17" s="2">
        <v>1024</v>
      </c>
      <c r="E17">
        <v>66.9</v>
      </c>
    </row>
    <row r="18" spans="1:5" ht="12.75">
      <c r="A18" s="2">
        <v>1025</v>
      </c>
      <c r="E18">
        <v>69.5</v>
      </c>
    </row>
    <row r="19" spans="1:5" ht="12.75">
      <c r="A19" s="2">
        <v>1026</v>
      </c>
      <c r="E19">
        <v>72.1</v>
      </c>
    </row>
    <row r="20" spans="1:5" ht="12.75">
      <c r="A20" s="2">
        <v>1027</v>
      </c>
      <c r="E20">
        <v>74.8</v>
      </c>
    </row>
    <row r="21" spans="1:5" ht="12.75">
      <c r="A21" s="2">
        <v>1028</v>
      </c>
      <c r="E21" s="3">
        <v>77.4333333333333</v>
      </c>
    </row>
    <row r="22" spans="1:5" ht="12.75">
      <c r="A22">
        <v>1029</v>
      </c>
      <c r="E22" s="3">
        <v>80</v>
      </c>
    </row>
    <row r="23" spans="1:5" ht="12.75">
      <c r="A23">
        <v>1030</v>
      </c>
      <c r="B23">
        <v>45</v>
      </c>
      <c r="C23">
        <v>70</v>
      </c>
      <c r="D23">
        <v>55</v>
      </c>
      <c r="E23" s="3">
        <v>82.5</v>
      </c>
    </row>
    <row r="24" spans="1:5" ht="12.75">
      <c r="A24">
        <v>1031</v>
      </c>
      <c r="B24">
        <v>47.5</v>
      </c>
      <c r="C24">
        <v>72</v>
      </c>
      <c r="D24">
        <v>57.5</v>
      </c>
      <c r="E24" s="3">
        <v>85.2</v>
      </c>
    </row>
    <row r="25" spans="1:5" ht="12.75">
      <c r="A25">
        <v>1032</v>
      </c>
      <c r="B25">
        <v>50</v>
      </c>
      <c r="C25">
        <v>74</v>
      </c>
      <c r="D25">
        <v>60</v>
      </c>
      <c r="E25" s="3">
        <v>87.8</v>
      </c>
    </row>
    <row r="26" spans="1:5" ht="12.75">
      <c r="A26">
        <v>1033</v>
      </c>
      <c r="B26">
        <v>52.5</v>
      </c>
      <c r="C26">
        <v>76</v>
      </c>
      <c r="D26">
        <v>62.5</v>
      </c>
      <c r="E26" s="3">
        <v>90.4</v>
      </c>
    </row>
    <row r="27" spans="1:5" ht="12.75">
      <c r="A27">
        <v>1034</v>
      </c>
      <c r="B27">
        <v>55</v>
      </c>
      <c r="C27">
        <v>78</v>
      </c>
      <c r="D27">
        <v>65</v>
      </c>
      <c r="E27" s="3">
        <v>93.3333333333334</v>
      </c>
    </row>
    <row r="28" spans="1:5" ht="12.75">
      <c r="A28">
        <v>1035</v>
      </c>
      <c r="B28">
        <v>57.5</v>
      </c>
      <c r="C28">
        <v>80</v>
      </c>
      <c r="D28">
        <v>67.5</v>
      </c>
      <c r="E28" s="3">
        <v>95.6</v>
      </c>
    </row>
    <row r="29" spans="1:5" ht="12.75">
      <c r="A29">
        <v>1036</v>
      </c>
      <c r="B29">
        <v>60</v>
      </c>
      <c r="C29">
        <v>82</v>
      </c>
      <c r="D29">
        <v>70</v>
      </c>
      <c r="E29" s="3">
        <v>98.2</v>
      </c>
    </row>
    <row r="30" spans="1:5" ht="12.75">
      <c r="A30">
        <v>1037</v>
      </c>
      <c r="B30">
        <v>62.5</v>
      </c>
      <c r="C30">
        <v>84</v>
      </c>
      <c r="D30">
        <v>72.5</v>
      </c>
      <c r="E30" s="3">
        <v>100.8</v>
      </c>
    </row>
    <row r="31" spans="1:5" ht="12.75">
      <c r="A31">
        <v>1038</v>
      </c>
      <c r="B31">
        <v>65</v>
      </c>
      <c r="C31">
        <v>86</v>
      </c>
      <c r="D31">
        <v>75</v>
      </c>
      <c r="E31" s="3">
        <v>103.4</v>
      </c>
    </row>
    <row r="32" spans="1:5" ht="12.75">
      <c r="A32">
        <v>1039</v>
      </c>
      <c r="B32">
        <v>67.5</v>
      </c>
      <c r="C32">
        <v>88</v>
      </c>
      <c r="D32">
        <v>77.5</v>
      </c>
      <c r="E32" s="3">
        <v>106</v>
      </c>
    </row>
    <row r="33" spans="1:5" ht="12.75">
      <c r="A33">
        <v>1040</v>
      </c>
      <c r="B33">
        <v>70</v>
      </c>
      <c r="C33">
        <v>90</v>
      </c>
      <c r="D33">
        <v>80</v>
      </c>
      <c r="E33">
        <v>108.7</v>
      </c>
    </row>
    <row r="34" spans="1:5" ht="12.75">
      <c r="A34">
        <v>1041</v>
      </c>
      <c r="B34">
        <v>72.5</v>
      </c>
      <c r="C34">
        <v>92</v>
      </c>
      <c r="D34">
        <v>82.5</v>
      </c>
      <c r="E34">
        <v>111.3</v>
      </c>
    </row>
    <row r="35" spans="1:5" ht="12.75">
      <c r="A35">
        <v>1042</v>
      </c>
      <c r="B35">
        <v>75</v>
      </c>
      <c r="C35">
        <v>94</v>
      </c>
      <c r="D35">
        <v>85</v>
      </c>
      <c r="E35">
        <v>113.9</v>
      </c>
    </row>
    <row r="36" spans="1:5" ht="12.75">
      <c r="A36">
        <v>1043</v>
      </c>
      <c r="B36">
        <v>77.5</v>
      </c>
      <c r="C36">
        <v>96</v>
      </c>
      <c r="D36">
        <v>87.5</v>
      </c>
      <c r="E36">
        <v>116.5</v>
      </c>
    </row>
    <row r="37" spans="1:5" ht="12.75">
      <c r="A37">
        <v>1044</v>
      </c>
      <c r="B37">
        <v>80</v>
      </c>
      <c r="C37">
        <v>98</v>
      </c>
      <c r="D37">
        <v>90</v>
      </c>
      <c r="E37">
        <v>119.2</v>
      </c>
    </row>
    <row r="38" spans="1:5" ht="12.75">
      <c r="A38">
        <v>1045</v>
      </c>
      <c r="B38">
        <v>82.5</v>
      </c>
      <c r="C38">
        <v>100</v>
      </c>
      <c r="D38">
        <v>92.5</v>
      </c>
      <c r="E38">
        <v>121.8</v>
      </c>
    </row>
    <row r="39" spans="1:5" ht="12.75">
      <c r="A39">
        <v>1046</v>
      </c>
      <c r="B39">
        <v>85</v>
      </c>
      <c r="C39">
        <v>102</v>
      </c>
      <c r="D39">
        <v>95</v>
      </c>
      <c r="E39" s="3">
        <v>124.4</v>
      </c>
    </row>
    <row r="40" spans="1:5" ht="12.75">
      <c r="A40">
        <v>1047</v>
      </c>
      <c r="B40">
        <v>87.5</v>
      </c>
      <c r="C40">
        <v>104</v>
      </c>
      <c r="D40">
        <v>97.5</v>
      </c>
      <c r="E40" s="3">
        <v>127</v>
      </c>
    </row>
    <row r="41" spans="1:5" ht="12.75">
      <c r="A41">
        <v>1048</v>
      </c>
      <c r="B41">
        <v>90</v>
      </c>
      <c r="C41">
        <v>106</v>
      </c>
      <c r="D41">
        <v>100</v>
      </c>
      <c r="E41">
        <v>129.6</v>
      </c>
    </row>
    <row r="42" spans="1:5" ht="12.75">
      <c r="A42">
        <v>1049</v>
      </c>
      <c r="B42">
        <v>92.5</v>
      </c>
      <c r="C42">
        <v>108</v>
      </c>
      <c r="D42">
        <v>102.5</v>
      </c>
      <c r="E42">
        <v>132.3</v>
      </c>
    </row>
    <row r="43" spans="1:5" ht="12.75">
      <c r="A43">
        <v>1050</v>
      </c>
      <c r="B43">
        <v>95</v>
      </c>
      <c r="C43">
        <v>110</v>
      </c>
      <c r="D43">
        <v>105</v>
      </c>
      <c r="E43">
        <v>134.8</v>
      </c>
    </row>
    <row r="44" spans="1:5" ht="12.75">
      <c r="A44">
        <v>1051</v>
      </c>
      <c r="B44">
        <v>97.5</v>
      </c>
      <c r="C44">
        <v>112</v>
      </c>
      <c r="D44">
        <v>107.5</v>
      </c>
      <c r="E44">
        <v>137.5</v>
      </c>
    </row>
    <row r="45" spans="1:5" ht="12.75">
      <c r="A45">
        <v>1052</v>
      </c>
      <c r="B45">
        <v>100</v>
      </c>
      <c r="C45">
        <v>114</v>
      </c>
      <c r="D45">
        <v>110</v>
      </c>
      <c r="E45">
        <v>140.1</v>
      </c>
    </row>
    <row r="46" spans="1:5" ht="12.75">
      <c r="A46">
        <v>1053</v>
      </c>
      <c r="B46">
        <v>102.5</v>
      </c>
      <c r="C46">
        <v>116</v>
      </c>
      <c r="D46">
        <v>112.5</v>
      </c>
      <c r="E46">
        <v>142.7</v>
      </c>
    </row>
    <row r="47" spans="1:5" ht="12.75">
      <c r="A47">
        <v>1054</v>
      </c>
      <c r="B47">
        <v>105</v>
      </c>
      <c r="C47">
        <v>118</v>
      </c>
      <c r="D47">
        <v>115</v>
      </c>
      <c r="E47">
        <v>145.3</v>
      </c>
    </row>
    <row r="48" spans="1:5" ht="12.75">
      <c r="A48">
        <v>1055</v>
      </c>
      <c r="B48">
        <v>107.5</v>
      </c>
      <c r="C48">
        <v>120</v>
      </c>
      <c r="D48">
        <v>117.5</v>
      </c>
      <c r="E48" s="3">
        <v>148</v>
      </c>
    </row>
    <row r="49" spans="1:5" ht="12.75">
      <c r="A49">
        <v>1056</v>
      </c>
      <c r="B49">
        <v>110</v>
      </c>
      <c r="C49">
        <v>122</v>
      </c>
      <c r="D49">
        <v>120</v>
      </c>
      <c r="E49">
        <v>150.6</v>
      </c>
    </row>
    <row r="50" spans="1:5" ht="12.75">
      <c r="A50">
        <v>1057</v>
      </c>
      <c r="B50">
        <v>112.5</v>
      </c>
      <c r="C50">
        <v>124</v>
      </c>
      <c r="D50">
        <v>122.5</v>
      </c>
      <c r="E50">
        <v>153.2</v>
      </c>
    </row>
    <row r="51" spans="1:5" ht="12.75">
      <c r="A51">
        <v>1058</v>
      </c>
      <c r="B51">
        <v>115</v>
      </c>
      <c r="C51">
        <v>126</v>
      </c>
      <c r="D51">
        <v>125</v>
      </c>
      <c r="E51">
        <v>155.8</v>
      </c>
    </row>
    <row r="52" spans="1:5" ht="12.75">
      <c r="A52">
        <v>1059</v>
      </c>
      <c r="B52">
        <v>117.5</v>
      </c>
      <c r="C52">
        <v>128</v>
      </c>
      <c r="D52">
        <v>127.5</v>
      </c>
      <c r="E52">
        <v>158.4</v>
      </c>
    </row>
    <row r="53" spans="1:5" ht="12.75">
      <c r="A53">
        <v>1060</v>
      </c>
      <c r="B53">
        <v>120</v>
      </c>
      <c r="C53">
        <v>130</v>
      </c>
      <c r="D53">
        <v>130</v>
      </c>
      <c r="E53">
        <v>161.1</v>
      </c>
    </row>
    <row r="54" spans="1:5" ht="12.75">
      <c r="A54">
        <v>1061</v>
      </c>
      <c r="B54">
        <v>122.5</v>
      </c>
      <c r="C54">
        <v>132</v>
      </c>
      <c r="D54">
        <v>132.5</v>
      </c>
      <c r="E54">
        <v>163.7</v>
      </c>
    </row>
    <row r="55" spans="1:5" ht="12.75">
      <c r="A55">
        <v>1062</v>
      </c>
      <c r="B55">
        <v>125</v>
      </c>
      <c r="C55">
        <v>134</v>
      </c>
      <c r="D55">
        <v>135</v>
      </c>
      <c r="E55">
        <v>166.3</v>
      </c>
    </row>
    <row r="56" spans="1:5" ht="12.75">
      <c r="A56">
        <v>1063</v>
      </c>
      <c r="B56">
        <v>127.5</v>
      </c>
      <c r="C56">
        <v>136</v>
      </c>
      <c r="D56">
        <v>137.5</v>
      </c>
      <c r="E56" s="3">
        <v>169</v>
      </c>
    </row>
    <row r="57" spans="1:9" ht="12.75">
      <c r="A57">
        <v>1064</v>
      </c>
      <c r="B57">
        <v>130</v>
      </c>
      <c r="C57">
        <v>138</v>
      </c>
      <c r="D57">
        <v>140</v>
      </c>
      <c r="E57">
        <v>171.6</v>
      </c>
      <c r="I57" s="8" t="s">
        <v>457</v>
      </c>
    </row>
    <row r="58" spans="1:5" ht="12.75">
      <c r="A58">
        <v>1065</v>
      </c>
      <c r="B58">
        <v>132.5</v>
      </c>
      <c r="C58">
        <v>140</v>
      </c>
      <c r="D58">
        <v>142.5</v>
      </c>
      <c r="E58">
        <v>174.2</v>
      </c>
    </row>
    <row r="59" spans="1:5" ht="12.75">
      <c r="A59">
        <v>1066</v>
      </c>
      <c r="B59">
        <v>135</v>
      </c>
      <c r="C59">
        <v>142</v>
      </c>
      <c r="D59">
        <v>145</v>
      </c>
      <c r="E59">
        <v>176.8</v>
      </c>
    </row>
    <row r="60" spans="1:5" ht="12.75">
      <c r="A60">
        <v>1067</v>
      </c>
      <c r="B60">
        <v>137.5</v>
      </c>
      <c r="C60">
        <v>144</v>
      </c>
      <c r="D60">
        <v>147.5</v>
      </c>
      <c r="E60">
        <v>179.5</v>
      </c>
    </row>
    <row r="61" spans="1:5" ht="12.75">
      <c r="A61">
        <v>1068</v>
      </c>
      <c r="B61">
        <v>140</v>
      </c>
      <c r="C61">
        <v>146</v>
      </c>
      <c r="D61">
        <v>150</v>
      </c>
      <c r="E61">
        <v>182.1</v>
      </c>
    </row>
    <row r="62" spans="1:5" ht="12.75">
      <c r="A62">
        <v>1069</v>
      </c>
      <c r="B62">
        <v>142.5</v>
      </c>
      <c r="C62">
        <v>148</v>
      </c>
      <c r="D62">
        <v>152.5</v>
      </c>
      <c r="E62">
        <v>184.7</v>
      </c>
    </row>
    <row r="63" spans="1:5" ht="12.75">
      <c r="A63">
        <v>1070</v>
      </c>
      <c r="B63">
        <v>145</v>
      </c>
      <c r="C63">
        <v>150</v>
      </c>
      <c r="D63">
        <v>155</v>
      </c>
      <c r="E63" s="3">
        <v>187.3</v>
      </c>
    </row>
    <row r="64" spans="1:5" ht="12.75">
      <c r="A64">
        <v>1071</v>
      </c>
      <c r="B64">
        <v>147.5</v>
      </c>
      <c r="C64">
        <v>152</v>
      </c>
      <c r="D64">
        <v>157.5</v>
      </c>
      <c r="E64" s="3">
        <v>190</v>
      </c>
    </row>
    <row r="65" spans="1:5" ht="12.75">
      <c r="A65">
        <v>1072</v>
      </c>
      <c r="B65">
        <v>150</v>
      </c>
      <c r="C65">
        <v>154</v>
      </c>
      <c r="D65">
        <v>160</v>
      </c>
      <c r="E65">
        <v>192.6</v>
      </c>
    </row>
    <row r="66" spans="1:5" ht="12.75">
      <c r="A66">
        <v>1073</v>
      </c>
      <c r="B66">
        <v>152.5</v>
      </c>
      <c r="C66">
        <v>156</v>
      </c>
      <c r="D66">
        <v>162.5</v>
      </c>
      <c r="E66">
        <v>195.2</v>
      </c>
    </row>
    <row r="67" spans="1:5" ht="12.75">
      <c r="A67">
        <v>1074</v>
      </c>
      <c r="B67">
        <v>155</v>
      </c>
      <c r="C67">
        <v>158</v>
      </c>
      <c r="D67">
        <v>165</v>
      </c>
      <c r="E67">
        <v>197.9</v>
      </c>
    </row>
    <row r="68" spans="1:5" ht="12.75">
      <c r="A68">
        <v>1075</v>
      </c>
      <c r="B68">
        <v>157.5</v>
      </c>
      <c r="C68">
        <v>160</v>
      </c>
      <c r="D68">
        <v>167.5</v>
      </c>
      <c r="E68">
        <v>200.5</v>
      </c>
    </row>
    <row r="69" spans="1:5" ht="12.75">
      <c r="A69">
        <v>1076</v>
      </c>
      <c r="B69">
        <v>160</v>
      </c>
      <c r="C69">
        <v>162</v>
      </c>
      <c r="D69">
        <v>170</v>
      </c>
      <c r="E69">
        <v>203.1</v>
      </c>
    </row>
    <row r="70" spans="1:5" ht="12.75">
      <c r="A70">
        <v>1077</v>
      </c>
      <c r="B70">
        <v>162.5</v>
      </c>
      <c r="C70">
        <v>164</v>
      </c>
      <c r="D70">
        <v>172.5</v>
      </c>
      <c r="E70">
        <v>205.8</v>
      </c>
    </row>
    <row r="71" spans="1:5" ht="12.75">
      <c r="A71">
        <v>1078</v>
      </c>
      <c r="B71">
        <v>165</v>
      </c>
      <c r="C71">
        <v>166</v>
      </c>
      <c r="D71">
        <v>175</v>
      </c>
      <c r="E71">
        <v>208.4</v>
      </c>
    </row>
    <row r="72" spans="1:5" ht="12.75">
      <c r="A72">
        <v>1079</v>
      </c>
      <c r="B72">
        <v>167.5</v>
      </c>
      <c r="C72">
        <v>168</v>
      </c>
      <c r="D72">
        <v>177.5</v>
      </c>
      <c r="E72" s="3">
        <v>211</v>
      </c>
    </row>
    <row r="73" spans="1:5" ht="12.75">
      <c r="A73">
        <v>1080</v>
      </c>
      <c r="B73">
        <v>170</v>
      </c>
      <c r="C73">
        <v>170</v>
      </c>
      <c r="D73">
        <v>180</v>
      </c>
      <c r="E73">
        <v>213.7</v>
      </c>
    </row>
    <row r="74" spans="1:5" ht="12.75">
      <c r="A74">
        <v>1081</v>
      </c>
      <c r="B74">
        <v>172.5</v>
      </c>
      <c r="C74">
        <v>172</v>
      </c>
      <c r="D74">
        <v>182.5</v>
      </c>
      <c r="E74">
        <v>216.3</v>
      </c>
    </row>
    <row r="75" spans="1:5" ht="12.75">
      <c r="A75">
        <v>1082</v>
      </c>
      <c r="B75">
        <v>175</v>
      </c>
      <c r="C75">
        <v>174</v>
      </c>
      <c r="D75">
        <v>185</v>
      </c>
      <c r="E75">
        <v>218.9</v>
      </c>
    </row>
    <row r="76" spans="1:5" ht="12.75">
      <c r="A76">
        <v>1083</v>
      </c>
      <c r="B76">
        <v>177.5</v>
      </c>
      <c r="C76">
        <v>176</v>
      </c>
      <c r="D76">
        <v>187.5</v>
      </c>
      <c r="E76">
        <v>221.6</v>
      </c>
    </row>
    <row r="77" spans="1:5" ht="12.75">
      <c r="A77">
        <v>1084</v>
      </c>
      <c r="B77">
        <v>180</v>
      </c>
      <c r="C77">
        <v>178</v>
      </c>
      <c r="D77">
        <v>190</v>
      </c>
      <c r="E77">
        <v>224.2</v>
      </c>
    </row>
    <row r="78" spans="1:5" ht="12.75">
      <c r="A78">
        <v>1085</v>
      </c>
      <c r="B78">
        <v>182.5</v>
      </c>
      <c r="C78">
        <v>180</v>
      </c>
      <c r="D78">
        <v>192.5</v>
      </c>
      <c r="E78">
        <v>226.9</v>
      </c>
    </row>
    <row r="79" spans="1:5" ht="12.75">
      <c r="A79">
        <v>1086</v>
      </c>
      <c r="B79">
        <v>185</v>
      </c>
      <c r="C79">
        <v>182</v>
      </c>
      <c r="D79">
        <v>195</v>
      </c>
      <c r="E79">
        <v>229.5</v>
      </c>
    </row>
    <row r="80" spans="1:5" ht="12.75">
      <c r="A80">
        <v>1087</v>
      </c>
      <c r="B80">
        <v>187.5</v>
      </c>
      <c r="C80">
        <v>184</v>
      </c>
      <c r="D80">
        <v>197.5</v>
      </c>
      <c r="E80">
        <v>232.1</v>
      </c>
    </row>
    <row r="81" spans="1:5" ht="12.75">
      <c r="A81">
        <v>1088</v>
      </c>
      <c r="B81">
        <v>190</v>
      </c>
      <c r="C81">
        <v>186</v>
      </c>
      <c r="D81">
        <v>200</v>
      </c>
      <c r="E81">
        <v>234.8</v>
      </c>
    </row>
    <row r="82" spans="1:5" ht="12.75">
      <c r="A82">
        <v>1089</v>
      </c>
      <c r="B82">
        <v>192.5</v>
      </c>
      <c r="C82">
        <v>188</v>
      </c>
      <c r="D82">
        <v>202.5</v>
      </c>
      <c r="E82">
        <v>237.4</v>
      </c>
    </row>
    <row r="83" spans="1:5" ht="12.75">
      <c r="A83">
        <v>1090</v>
      </c>
      <c r="B83">
        <v>195</v>
      </c>
      <c r="C83">
        <v>190</v>
      </c>
      <c r="D83">
        <v>205</v>
      </c>
      <c r="E83">
        <v>240</v>
      </c>
    </row>
    <row r="84" spans="1:5" ht="12.75">
      <c r="A84">
        <v>1091</v>
      </c>
      <c r="B84">
        <v>197.5</v>
      </c>
      <c r="C84">
        <v>192</v>
      </c>
      <c r="D84">
        <v>207.5</v>
      </c>
      <c r="E84">
        <v>242.7</v>
      </c>
    </row>
    <row r="85" spans="1:5" ht="12.75">
      <c r="A85">
        <v>1092</v>
      </c>
      <c r="B85">
        <v>200</v>
      </c>
      <c r="C85">
        <v>194</v>
      </c>
      <c r="D85">
        <v>210</v>
      </c>
      <c r="E85">
        <v>245.3</v>
      </c>
    </row>
    <row r="86" spans="1:5" ht="12.75">
      <c r="A86">
        <v>1093</v>
      </c>
      <c r="B86">
        <v>202.5</v>
      </c>
      <c r="C86">
        <v>196</v>
      </c>
      <c r="D86">
        <v>212.5</v>
      </c>
      <c r="E86">
        <v>248</v>
      </c>
    </row>
    <row r="87" spans="1:5" ht="12.75">
      <c r="A87">
        <v>1094</v>
      </c>
      <c r="B87">
        <v>205</v>
      </c>
      <c r="C87">
        <v>198</v>
      </c>
      <c r="D87">
        <v>215</v>
      </c>
      <c r="E87">
        <v>250.6</v>
      </c>
    </row>
    <row r="88" spans="1:5" ht="12.75">
      <c r="A88">
        <v>1095</v>
      </c>
      <c r="B88">
        <v>207.5</v>
      </c>
      <c r="C88">
        <v>200</v>
      </c>
      <c r="D88">
        <v>217.5</v>
      </c>
      <c r="E88">
        <v>253.3</v>
      </c>
    </row>
    <row r="89" spans="1:5" ht="12.75">
      <c r="A89">
        <v>1096</v>
      </c>
      <c r="B89">
        <v>210</v>
      </c>
      <c r="C89">
        <v>202</v>
      </c>
      <c r="D89">
        <v>220</v>
      </c>
      <c r="E89">
        <v>255.9</v>
      </c>
    </row>
    <row r="90" spans="1:5" ht="12.75">
      <c r="A90">
        <v>1097</v>
      </c>
      <c r="B90">
        <v>212.5</v>
      </c>
      <c r="C90">
        <v>204</v>
      </c>
      <c r="D90">
        <v>222.5</v>
      </c>
      <c r="E90">
        <v>258.5</v>
      </c>
    </row>
    <row r="91" spans="1:5" ht="12.75">
      <c r="A91">
        <v>1098</v>
      </c>
      <c r="B91">
        <v>215</v>
      </c>
      <c r="C91">
        <v>206</v>
      </c>
      <c r="D91">
        <v>225</v>
      </c>
      <c r="E91">
        <v>261.2</v>
      </c>
    </row>
    <row r="92" spans="1:5" ht="12.75">
      <c r="A92">
        <v>1099</v>
      </c>
      <c r="B92">
        <v>217.5</v>
      </c>
      <c r="C92">
        <v>208</v>
      </c>
      <c r="D92">
        <v>227.5</v>
      </c>
      <c r="E92">
        <v>263.8</v>
      </c>
    </row>
    <row r="93" spans="1:5" ht="12.75">
      <c r="A93">
        <v>1100</v>
      </c>
      <c r="B93">
        <v>220</v>
      </c>
      <c r="C93">
        <v>210</v>
      </c>
      <c r="D93">
        <v>230</v>
      </c>
      <c r="E93">
        <v>266.5</v>
      </c>
    </row>
    <row r="94" spans="1:5" ht="12.75">
      <c r="A94">
        <v>1101</v>
      </c>
      <c r="B94">
        <v>222.5</v>
      </c>
      <c r="C94">
        <v>212</v>
      </c>
      <c r="D94">
        <v>232.5</v>
      </c>
      <c r="E94">
        <v>269.1</v>
      </c>
    </row>
    <row r="95" spans="1:5" ht="12.75">
      <c r="A95">
        <v>1102</v>
      </c>
      <c r="B95">
        <v>225</v>
      </c>
      <c r="C95">
        <v>214</v>
      </c>
      <c r="D95">
        <v>235</v>
      </c>
      <c r="E95">
        <v>271.8</v>
      </c>
    </row>
    <row r="96" spans="1:5" ht="12.75">
      <c r="A96">
        <v>1103</v>
      </c>
      <c r="B96">
        <v>227.5</v>
      </c>
      <c r="C96">
        <v>216</v>
      </c>
      <c r="D96">
        <v>237.5</v>
      </c>
      <c r="E96">
        <v>274.4</v>
      </c>
    </row>
    <row r="97" spans="1:5" ht="12.75">
      <c r="A97">
        <v>1104</v>
      </c>
      <c r="B97">
        <v>230</v>
      </c>
      <c r="C97">
        <v>218</v>
      </c>
      <c r="D97">
        <v>240</v>
      </c>
      <c r="E97">
        <v>277.1</v>
      </c>
    </row>
    <row r="98" spans="1:5" ht="12.75">
      <c r="A98">
        <v>1105</v>
      </c>
      <c r="B98">
        <v>232.5</v>
      </c>
      <c r="C98">
        <v>220</v>
      </c>
      <c r="D98">
        <v>242.5</v>
      </c>
      <c r="E98">
        <v>279.1</v>
      </c>
    </row>
    <row r="99" spans="1:5" ht="12.75">
      <c r="A99">
        <v>1106</v>
      </c>
      <c r="B99">
        <v>235</v>
      </c>
      <c r="C99">
        <v>222</v>
      </c>
      <c r="D99">
        <v>245</v>
      </c>
      <c r="E99" s="3">
        <v>282.4</v>
      </c>
    </row>
    <row r="100" spans="1:5" ht="12.75">
      <c r="A100">
        <v>1107</v>
      </c>
      <c r="B100">
        <v>237.5</v>
      </c>
      <c r="C100">
        <v>224</v>
      </c>
      <c r="D100">
        <v>247.5</v>
      </c>
      <c r="E100" s="3">
        <v>285</v>
      </c>
    </row>
    <row r="101" spans="1:5" ht="12.75">
      <c r="A101">
        <v>1108</v>
      </c>
      <c r="B101">
        <v>240</v>
      </c>
      <c r="C101">
        <v>226</v>
      </c>
      <c r="D101">
        <v>250</v>
      </c>
      <c r="E101">
        <v>287.7</v>
      </c>
    </row>
    <row r="102" spans="1:5" ht="12.75">
      <c r="A102">
        <v>1109</v>
      </c>
      <c r="B102">
        <v>242.5</v>
      </c>
      <c r="C102">
        <v>228</v>
      </c>
      <c r="D102">
        <v>252.5</v>
      </c>
      <c r="E102">
        <v>290.3</v>
      </c>
    </row>
    <row r="103" spans="1:5" ht="12.75">
      <c r="A103">
        <v>1110</v>
      </c>
      <c r="B103">
        <v>245</v>
      </c>
      <c r="C103">
        <v>230</v>
      </c>
      <c r="D103">
        <v>255</v>
      </c>
      <c r="E103" s="3">
        <v>293</v>
      </c>
    </row>
    <row r="104" spans="1:5" ht="12.75">
      <c r="A104">
        <v>1111</v>
      </c>
      <c r="B104">
        <v>247.5</v>
      </c>
      <c r="C104">
        <v>232</v>
      </c>
      <c r="D104">
        <v>257.5</v>
      </c>
      <c r="E104">
        <v>295.6</v>
      </c>
    </row>
    <row r="105" spans="1:5" ht="12.75">
      <c r="A105">
        <v>1112</v>
      </c>
      <c r="B105">
        <v>250</v>
      </c>
      <c r="C105">
        <v>234</v>
      </c>
      <c r="D105">
        <v>260</v>
      </c>
      <c r="E105">
        <v>298.3</v>
      </c>
    </row>
    <row r="106" spans="1:5" ht="12.75">
      <c r="A106">
        <v>1113</v>
      </c>
      <c r="B106">
        <v>252.5</v>
      </c>
      <c r="C106">
        <v>236</v>
      </c>
      <c r="D106">
        <v>262.5</v>
      </c>
      <c r="E106">
        <v>300.9</v>
      </c>
    </row>
    <row r="107" spans="1:5" ht="12.75">
      <c r="A107">
        <v>1114</v>
      </c>
      <c r="B107">
        <v>255</v>
      </c>
      <c r="C107">
        <v>238</v>
      </c>
      <c r="D107">
        <v>265</v>
      </c>
      <c r="E107">
        <v>303.6</v>
      </c>
    </row>
    <row r="108" spans="1:5" ht="12.75">
      <c r="A108">
        <v>1115</v>
      </c>
      <c r="B108">
        <v>257.5</v>
      </c>
      <c r="C108">
        <v>240</v>
      </c>
      <c r="D108">
        <v>267.5</v>
      </c>
      <c r="E108">
        <v>306.2</v>
      </c>
    </row>
    <row r="109" spans="1:5" ht="12.75">
      <c r="A109">
        <v>1116</v>
      </c>
      <c r="B109">
        <v>260</v>
      </c>
      <c r="C109">
        <v>242</v>
      </c>
      <c r="D109">
        <v>270</v>
      </c>
      <c r="E109">
        <v>308.9</v>
      </c>
    </row>
    <row r="110" spans="1:5" ht="12.75">
      <c r="A110">
        <v>1117</v>
      </c>
      <c r="B110">
        <v>262.5</v>
      </c>
      <c r="C110">
        <v>244</v>
      </c>
      <c r="D110">
        <v>272.5</v>
      </c>
      <c r="E110">
        <v>311.5</v>
      </c>
    </row>
    <row r="111" spans="1:5" ht="12.75">
      <c r="A111">
        <v>1118</v>
      </c>
      <c r="B111">
        <v>265</v>
      </c>
      <c r="C111">
        <v>246</v>
      </c>
      <c r="D111">
        <v>275</v>
      </c>
      <c r="E111">
        <v>314.2</v>
      </c>
    </row>
    <row r="112" spans="1:5" ht="12.75">
      <c r="A112">
        <v>1119</v>
      </c>
      <c r="B112">
        <v>267.5</v>
      </c>
      <c r="C112">
        <v>248</v>
      </c>
      <c r="D112">
        <v>277.5</v>
      </c>
      <c r="E112">
        <v>316.9</v>
      </c>
    </row>
    <row r="113" spans="1:9" ht="12.75">
      <c r="A113">
        <v>1120</v>
      </c>
      <c r="B113">
        <v>270</v>
      </c>
      <c r="C113">
        <v>250</v>
      </c>
      <c r="D113">
        <v>280</v>
      </c>
      <c r="E113">
        <v>319.5</v>
      </c>
      <c r="I113" s="8" t="s">
        <v>75</v>
      </c>
    </row>
    <row r="114" spans="1:5" ht="12.75">
      <c r="A114">
        <v>1121</v>
      </c>
      <c r="B114">
        <v>272.5</v>
      </c>
      <c r="C114">
        <v>252</v>
      </c>
      <c r="D114">
        <v>282.5</v>
      </c>
      <c r="E114">
        <v>322.2</v>
      </c>
    </row>
    <row r="115" spans="1:5" ht="12.75">
      <c r="A115">
        <v>1122</v>
      </c>
      <c r="B115">
        <v>275</v>
      </c>
      <c r="C115">
        <v>254</v>
      </c>
      <c r="D115">
        <v>285</v>
      </c>
      <c r="E115">
        <v>324.8</v>
      </c>
    </row>
    <row r="116" spans="1:5" ht="12.75">
      <c r="A116">
        <v>1123</v>
      </c>
      <c r="B116">
        <v>277.5</v>
      </c>
      <c r="C116">
        <v>256</v>
      </c>
      <c r="D116">
        <v>287.5</v>
      </c>
      <c r="E116">
        <v>327.5</v>
      </c>
    </row>
    <row r="117" spans="1:5" ht="12.75">
      <c r="A117">
        <v>1124</v>
      </c>
      <c r="B117">
        <v>280</v>
      </c>
      <c r="C117">
        <v>258</v>
      </c>
      <c r="D117">
        <v>290</v>
      </c>
      <c r="E117">
        <v>330.2</v>
      </c>
    </row>
    <row r="118" spans="1:5" ht="12.75">
      <c r="A118">
        <v>1125</v>
      </c>
      <c r="B118">
        <v>282.5</v>
      </c>
      <c r="C118">
        <v>260</v>
      </c>
      <c r="D118">
        <v>292.5</v>
      </c>
      <c r="E118" s="3">
        <v>332.85</v>
      </c>
    </row>
    <row r="119" spans="1:5" ht="12.75">
      <c r="A119">
        <v>1126</v>
      </c>
      <c r="B119">
        <v>285</v>
      </c>
      <c r="C119">
        <v>262</v>
      </c>
      <c r="D119">
        <v>295</v>
      </c>
      <c r="E119" s="3">
        <v>335.52</v>
      </c>
    </row>
    <row r="120" spans="1:5" ht="12.75">
      <c r="A120">
        <v>1127</v>
      </c>
      <c r="B120">
        <v>287.5</v>
      </c>
      <c r="C120">
        <v>264</v>
      </c>
      <c r="D120">
        <v>297.5</v>
      </c>
      <c r="E120" s="3">
        <v>338.19</v>
      </c>
    </row>
    <row r="121" spans="1:5" ht="12.75">
      <c r="A121">
        <v>1128</v>
      </c>
      <c r="B121">
        <v>290</v>
      </c>
      <c r="C121">
        <v>266</v>
      </c>
      <c r="D121">
        <v>300</v>
      </c>
      <c r="E121" s="3">
        <v>340.86</v>
      </c>
    </row>
    <row r="122" spans="1:5" ht="12.75">
      <c r="A122">
        <v>1129</v>
      </c>
      <c r="B122">
        <v>292.5</v>
      </c>
      <c r="C122">
        <v>268</v>
      </c>
      <c r="D122">
        <v>302.5</v>
      </c>
      <c r="E122" s="3">
        <v>343.53</v>
      </c>
    </row>
    <row r="123" spans="1:5" ht="12.75">
      <c r="A123">
        <v>1130</v>
      </c>
      <c r="B123">
        <v>295</v>
      </c>
      <c r="C123">
        <v>270</v>
      </c>
      <c r="D123">
        <v>305</v>
      </c>
      <c r="E123" s="3">
        <v>346.2</v>
      </c>
    </row>
    <row r="124" spans="1:5" ht="12.75">
      <c r="A124">
        <v>1131</v>
      </c>
      <c r="B124">
        <v>297.5</v>
      </c>
      <c r="C124">
        <v>272</v>
      </c>
      <c r="D124">
        <v>307.5</v>
      </c>
      <c r="E124" s="3">
        <v>348.87</v>
      </c>
    </row>
    <row r="125" spans="1:5" ht="12.75">
      <c r="A125">
        <v>1132</v>
      </c>
      <c r="B125">
        <v>300</v>
      </c>
      <c r="C125">
        <v>274</v>
      </c>
      <c r="D125">
        <v>310</v>
      </c>
      <c r="E125" s="3">
        <v>351.54</v>
      </c>
    </row>
    <row r="126" spans="1:5" ht="12.75">
      <c r="A126">
        <v>1133</v>
      </c>
      <c r="B126">
        <v>302.5</v>
      </c>
      <c r="C126">
        <v>276</v>
      </c>
      <c r="D126">
        <v>312.5</v>
      </c>
      <c r="E126" s="3">
        <v>354.21</v>
      </c>
    </row>
    <row r="127" spans="1:5" ht="12.75">
      <c r="A127">
        <v>1134</v>
      </c>
      <c r="B127">
        <v>305</v>
      </c>
      <c r="C127">
        <v>278</v>
      </c>
      <c r="D127">
        <v>315</v>
      </c>
      <c r="E127" s="3">
        <v>356.88</v>
      </c>
    </row>
    <row r="128" spans="1:5" ht="12.75">
      <c r="A128">
        <v>1135</v>
      </c>
      <c r="B128">
        <v>307.5</v>
      </c>
      <c r="C128">
        <v>280</v>
      </c>
      <c r="D128">
        <v>317.5</v>
      </c>
      <c r="E128" s="3">
        <v>359.549999999999</v>
      </c>
    </row>
    <row r="129" spans="1:5" ht="12.75">
      <c r="A129">
        <v>1136</v>
      </c>
      <c r="B129">
        <v>310</v>
      </c>
      <c r="C129">
        <v>282</v>
      </c>
      <c r="D129">
        <v>320</v>
      </c>
      <c r="E129" s="3">
        <v>362.22</v>
      </c>
    </row>
    <row r="130" spans="1:5" ht="12.75">
      <c r="A130">
        <v>1137</v>
      </c>
      <c r="B130">
        <v>312.5</v>
      </c>
      <c r="C130">
        <v>284</v>
      </c>
      <c r="D130">
        <v>322.5</v>
      </c>
      <c r="E130" s="3">
        <v>364.889999999999</v>
      </c>
    </row>
    <row r="131" spans="1:5" ht="12.75">
      <c r="A131">
        <v>1138</v>
      </c>
      <c r="B131">
        <v>315</v>
      </c>
      <c r="C131">
        <v>286</v>
      </c>
      <c r="D131">
        <v>325</v>
      </c>
      <c r="E131" s="3">
        <v>367.559999999999</v>
      </c>
    </row>
    <row r="132" spans="1:5" ht="12.75">
      <c r="A132">
        <v>1139</v>
      </c>
      <c r="B132">
        <v>317.5</v>
      </c>
      <c r="C132">
        <v>288</v>
      </c>
      <c r="D132">
        <v>327.5</v>
      </c>
      <c r="E132" s="3">
        <v>370.229999999999</v>
      </c>
    </row>
    <row r="133" spans="1:5" ht="12.75">
      <c r="A133">
        <v>1140</v>
      </c>
      <c r="B133">
        <v>320</v>
      </c>
      <c r="C133">
        <v>290</v>
      </c>
      <c r="D133">
        <v>330</v>
      </c>
      <c r="E133" s="3">
        <v>372.899999999999</v>
      </c>
    </row>
    <row r="134" spans="1:5" ht="12.75">
      <c r="A134">
        <v>1141</v>
      </c>
      <c r="B134">
        <v>322.5</v>
      </c>
      <c r="C134">
        <v>292</v>
      </c>
      <c r="D134">
        <v>332.5</v>
      </c>
      <c r="E134" s="3">
        <v>375.569999999995</v>
      </c>
    </row>
    <row r="135" spans="1:5" ht="12.75">
      <c r="A135">
        <v>1142</v>
      </c>
      <c r="B135">
        <v>325</v>
      </c>
      <c r="C135">
        <v>294</v>
      </c>
      <c r="D135">
        <v>335</v>
      </c>
      <c r="E135" s="3">
        <v>378.239999999994</v>
      </c>
    </row>
    <row r="136" spans="1:5" ht="12.75">
      <c r="A136">
        <v>1143</v>
      </c>
      <c r="B136">
        <v>327.5</v>
      </c>
      <c r="C136">
        <v>296</v>
      </c>
      <c r="D136">
        <v>337.5</v>
      </c>
      <c r="E136" s="3">
        <v>380.909999999993</v>
      </c>
    </row>
    <row r="137" spans="1:5" ht="12.75">
      <c r="A137">
        <v>1144</v>
      </c>
      <c r="B137">
        <v>330</v>
      </c>
      <c r="C137">
        <v>298</v>
      </c>
      <c r="D137">
        <v>340</v>
      </c>
      <c r="E137" s="3">
        <v>383.579999999992</v>
      </c>
    </row>
    <row r="138" spans="1:5" ht="12.75">
      <c r="A138">
        <v>1145</v>
      </c>
      <c r="B138">
        <v>332.5</v>
      </c>
      <c r="C138">
        <v>300</v>
      </c>
      <c r="D138">
        <v>342.5</v>
      </c>
      <c r="E138" s="3">
        <v>386.249999999991</v>
      </c>
    </row>
    <row r="139" spans="1:5" ht="12.75">
      <c r="A139">
        <v>1146</v>
      </c>
      <c r="B139">
        <v>335</v>
      </c>
      <c r="C139">
        <v>302</v>
      </c>
      <c r="D139">
        <v>345</v>
      </c>
      <c r="E139" s="3">
        <v>388.91999999999</v>
      </c>
    </row>
    <row r="140" spans="1:5" ht="12.75">
      <c r="A140">
        <v>1147</v>
      </c>
      <c r="B140">
        <v>337.5</v>
      </c>
      <c r="C140">
        <v>304</v>
      </c>
      <c r="D140">
        <v>347.5</v>
      </c>
      <c r="E140" s="3">
        <v>391.589999999989</v>
      </c>
    </row>
    <row r="141" spans="1:5" ht="12.75">
      <c r="A141">
        <v>1148</v>
      </c>
      <c r="B141">
        <v>340</v>
      </c>
      <c r="C141">
        <v>306</v>
      </c>
      <c r="D141">
        <v>350</v>
      </c>
      <c r="E141" s="3">
        <v>394.259999999988</v>
      </c>
    </row>
    <row r="142" spans="1:5" ht="12.75">
      <c r="A142">
        <v>1149</v>
      </c>
      <c r="B142">
        <v>342.5</v>
      </c>
      <c r="C142">
        <v>308</v>
      </c>
      <c r="D142">
        <v>352.5</v>
      </c>
      <c r="E142" s="3">
        <v>396.929999999987</v>
      </c>
    </row>
    <row r="143" spans="1:5" ht="12.75">
      <c r="A143">
        <v>1150</v>
      </c>
      <c r="B143">
        <v>345</v>
      </c>
      <c r="C143">
        <v>310</v>
      </c>
      <c r="D143">
        <v>355</v>
      </c>
      <c r="E143" s="3">
        <v>399.599999999986</v>
      </c>
    </row>
    <row r="144" ht="12.75">
      <c r="E144" s="3"/>
    </row>
    <row r="145" spans="1:6" ht="39" customHeight="1">
      <c r="A145" s="166" t="s">
        <v>186</v>
      </c>
      <c r="B145" s="166"/>
      <c r="C145" s="166"/>
      <c r="D145" s="166"/>
      <c r="E145" s="166"/>
      <c r="F145" s="166"/>
    </row>
    <row r="147" spans="1:6" ht="34.5" customHeight="1">
      <c r="A147" s="5" t="s">
        <v>187</v>
      </c>
      <c r="B147" s="199" t="s">
        <v>188</v>
      </c>
      <c r="C147" s="199"/>
      <c r="D147" s="199"/>
      <c r="E147" s="199"/>
      <c r="F147" s="199"/>
    </row>
    <row r="148" spans="2:6" ht="12.75">
      <c r="B148" s="4">
        <v>10</v>
      </c>
      <c r="C148" s="4">
        <v>9</v>
      </c>
      <c r="D148" s="4">
        <v>8</v>
      </c>
      <c r="E148" s="4">
        <v>7</v>
      </c>
      <c r="F148" s="4">
        <v>6</v>
      </c>
    </row>
    <row r="149" spans="2:6" ht="12.75">
      <c r="B149" s="4" t="s">
        <v>189</v>
      </c>
      <c r="C149" s="4" t="s">
        <v>189</v>
      </c>
      <c r="D149" s="4" t="s">
        <v>189</v>
      </c>
      <c r="E149" s="4" t="s">
        <v>189</v>
      </c>
      <c r="F149" s="4" t="s">
        <v>189</v>
      </c>
    </row>
    <row r="150" spans="1:6" ht="12.75">
      <c r="A150" s="3">
        <v>12.5</v>
      </c>
      <c r="B150">
        <v>170</v>
      </c>
      <c r="C150">
        <v>240</v>
      </c>
      <c r="D150">
        <v>310</v>
      </c>
      <c r="E150">
        <v>370</v>
      </c>
      <c r="F150">
        <v>440</v>
      </c>
    </row>
    <row r="151" spans="1:6" ht="12.75">
      <c r="A151" s="3">
        <v>13</v>
      </c>
      <c r="B151">
        <v>200</v>
      </c>
      <c r="C151">
        <v>270</v>
      </c>
      <c r="D151">
        <v>340</v>
      </c>
      <c r="E151">
        <v>400</v>
      </c>
      <c r="F151">
        <v>470</v>
      </c>
    </row>
    <row r="152" spans="1:6" ht="12.75">
      <c r="A152" s="3">
        <v>13.5</v>
      </c>
      <c r="B152">
        <v>240</v>
      </c>
      <c r="C152">
        <v>310</v>
      </c>
      <c r="D152">
        <v>370</v>
      </c>
      <c r="E152">
        <v>440</v>
      </c>
      <c r="F152">
        <v>510</v>
      </c>
    </row>
    <row r="153" spans="1:6" ht="12.75">
      <c r="A153" s="3">
        <v>14</v>
      </c>
      <c r="B153">
        <v>270</v>
      </c>
      <c r="C153">
        <v>340</v>
      </c>
      <c r="D153">
        <v>400</v>
      </c>
      <c r="E153">
        <v>470</v>
      </c>
      <c r="F153">
        <v>540</v>
      </c>
    </row>
    <row r="154" spans="1:6" ht="12.75">
      <c r="A154" s="3">
        <v>14.5</v>
      </c>
      <c r="B154">
        <v>310</v>
      </c>
      <c r="C154">
        <v>370</v>
      </c>
      <c r="D154">
        <v>440</v>
      </c>
      <c r="E154">
        <v>510</v>
      </c>
      <c r="F154">
        <v>580</v>
      </c>
    </row>
    <row r="155" spans="1:6" ht="12.75">
      <c r="A155" s="3">
        <v>15</v>
      </c>
      <c r="B155">
        <v>340</v>
      </c>
      <c r="C155">
        <v>400</v>
      </c>
      <c r="D155">
        <v>470</v>
      </c>
      <c r="E155">
        <v>540</v>
      </c>
      <c r="F155">
        <v>610</v>
      </c>
    </row>
    <row r="156" spans="1:6" ht="12.75">
      <c r="A156" s="3">
        <v>15.5</v>
      </c>
      <c r="B156">
        <v>370</v>
      </c>
      <c r="C156">
        <v>440</v>
      </c>
      <c r="D156">
        <v>510</v>
      </c>
      <c r="E156">
        <v>580</v>
      </c>
      <c r="F156">
        <v>650</v>
      </c>
    </row>
    <row r="157" spans="1:6" ht="12.75">
      <c r="A157" s="3">
        <v>16</v>
      </c>
      <c r="B157">
        <v>400</v>
      </c>
      <c r="C157">
        <v>470</v>
      </c>
      <c r="D157">
        <v>540</v>
      </c>
      <c r="E157">
        <v>610</v>
      </c>
      <c r="F157">
        <v>680</v>
      </c>
    </row>
    <row r="158" spans="1:6" ht="12.75">
      <c r="A158" s="3">
        <v>16.5</v>
      </c>
      <c r="B158">
        <v>440</v>
      </c>
      <c r="C158">
        <v>510</v>
      </c>
      <c r="D158">
        <v>580</v>
      </c>
      <c r="E158">
        <v>650</v>
      </c>
      <c r="F158">
        <v>710</v>
      </c>
    </row>
    <row r="159" spans="1:6" ht="12.75">
      <c r="A159" s="3">
        <v>17</v>
      </c>
      <c r="B159">
        <v>470</v>
      </c>
      <c r="C159">
        <v>540</v>
      </c>
      <c r="D159">
        <v>610</v>
      </c>
      <c r="E159">
        <v>680</v>
      </c>
      <c r="F159">
        <v>740</v>
      </c>
    </row>
    <row r="160" spans="1:6" ht="12.75">
      <c r="A160" s="3">
        <v>17.5</v>
      </c>
      <c r="B160">
        <v>510</v>
      </c>
      <c r="C160">
        <v>580</v>
      </c>
      <c r="D160">
        <v>650</v>
      </c>
      <c r="E160">
        <v>710</v>
      </c>
      <c r="F160">
        <v>780</v>
      </c>
    </row>
    <row r="161" spans="1:6" ht="12.75">
      <c r="A161" s="3">
        <v>18</v>
      </c>
      <c r="B161">
        <v>540</v>
      </c>
      <c r="C161">
        <v>610</v>
      </c>
      <c r="D161">
        <v>680</v>
      </c>
      <c r="E161">
        <v>740</v>
      </c>
      <c r="F161">
        <v>810</v>
      </c>
    </row>
    <row r="162" spans="1:6" ht="12.75">
      <c r="A162" s="3">
        <v>18.5</v>
      </c>
      <c r="B162">
        <v>580</v>
      </c>
      <c r="C162">
        <v>650</v>
      </c>
      <c r="D162">
        <v>710</v>
      </c>
      <c r="E162">
        <v>780</v>
      </c>
      <c r="F162">
        <v>840</v>
      </c>
    </row>
    <row r="163" spans="1:6" ht="12.75">
      <c r="A163" s="3">
        <v>19</v>
      </c>
      <c r="B163">
        <v>610</v>
      </c>
      <c r="C163">
        <v>680</v>
      </c>
      <c r="D163">
        <v>740</v>
      </c>
      <c r="E163">
        <v>810</v>
      </c>
      <c r="F163">
        <v>870</v>
      </c>
    </row>
    <row r="164" spans="1:6" ht="12.75">
      <c r="A164" s="3">
        <v>19.5</v>
      </c>
      <c r="B164">
        <v>650</v>
      </c>
      <c r="C164">
        <v>710</v>
      </c>
      <c r="D164">
        <v>780</v>
      </c>
      <c r="E164">
        <v>840</v>
      </c>
      <c r="F164">
        <v>910</v>
      </c>
    </row>
    <row r="165" spans="1:9" ht="12.75">
      <c r="A165" s="3">
        <v>20</v>
      </c>
      <c r="B165">
        <v>680</v>
      </c>
      <c r="C165">
        <v>740</v>
      </c>
      <c r="D165">
        <v>810</v>
      </c>
      <c r="E165">
        <v>870</v>
      </c>
      <c r="F165">
        <v>940</v>
      </c>
      <c r="I165" s="8" t="s">
        <v>103</v>
      </c>
    </row>
    <row r="166" spans="1:6" ht="12.75">
      <c r="A166" s="3">
        <v>20.5</v>
      </c>
      <c r="B166">
        <v>710</v>
      </c>
      <c r="C166">
        <v>780</v>
      </c>
      <c r="D166">
        <v>840</v>
      </c>
      <c r="E166">
        <v>910</v>
      </c>
      <c r="F166">
        <v>970</v>
      </c>
    </row>
    <row r="167" spans="1:6" ht="12.75">
      <c r="A167" s="3">
        <v>21</v>
      </c>
      <c r="B167">
        <v>740</v>
      </c>
      <c r="C167">
        <v>810</v>
      </c>
      <c r="D167">
        <v>870</v>
      </c>
      <c r="E167">
        <v>940</v>
      </c>
      <c r="F167">
        <v>1000</v>
      </c>
    </row>
    <row r="168" spans="1:5" ht="12.75">
      <c r="A168" s="3">
        <v>21.5</v>
      </c>
      <c r="B168">
        <v>780</v>
      </c>
      <c r="C168">
        <v>840</v>
      </c>
      <c r="D168">
        <v>910</v>
      </c>
      <c r="E168">
        <v>970</v>
      </c>
    </row>
    <row r="169" spans="1:5" ht="12.75">
      <c r="A169" s="3">
        <v>22</v>
      </c>
      <c r="B169">
        <v>810</v>
      </c>
      <c r="C169">
        <v>870</v>
      </c>
      <c r="D169">
        <v>940</v>
      </c>
      <c r="E169">
        <v>1000</v>
      </c>
    </row>
    <row r="170" spans="1:4" ht="12.75">
      <c r="A170" s="3">
        <v>22.5</v>
      </c>
      <c r="B170">
        <v>840</v>
      </c>
      <c r="C170">
        <v>910</v>
      </c>
      <c r="D170">
        <v>970</v>
      </c>
    </row>
    <row r="171" spans="1:4" ht="12.75">
      <c r="A171" s="3">
        <v>23</v>
      </c>
      <c r="B171">
        <v>870</v>
      </c>
      <c r="C171">
        <v>940</v>
      </c>
      <c r="D171">
        <v>1000</v>
      </c>
    </row>
    <row r="172" spans="1:3" ht="12.75">
      <c r="A172" s="3">
        <v>23.5</v>
      </c>
      <c r="B172">
        <v>910</v>
      </c>
      <c r="C172">
        <v>970</v>
      </c>
    </row>
    <row r="173" spans="1:3" ht="12.75">
      <c r="A173" s="3">
        <v>24</v>
      </c>
      <c r="B173">
        <v>940</v>
      </c>
      <c r="C173">
        <v>1000</v>
      </c>
    </row>
    <row r="174" spans="1:2" ht="12.75">
      <c r="A174" s="3">
        <v>24.5</v>
      </c>
      <c r="B174">
        <v>970</v>
      </c>
    </row>
    <row r="175" spans="1:2" ht="12.75">
      <c r="A175" s="3">
        <v>25</v>
      </c>
      <c r="B175">
        <v>1000</v>
      </c>
    </row>
    <row r="176" ht="12.75">
      <c r="A176" s="3"/>
    </row>
    <row r="177" spans="1:6" s="6" customFormat="1" ht="39" customHeight="1">
      <c r="A177" s="166" t="s">
        <v>190</v>
      </c>
      <c r="B177" s="166"/>
      <c r="C177" s="166"/>
      <c r="D177" s="166"/>
      <c r="E177" s="166"/>
      <c r="F177" s="166"/>
    </row>
    <row r="178" spans="1:6" s="6" customFormat="1" ht="12.75">
      <c r="A178" s="7"/>
      <c r="B178" s="7"/>
      <c r="C178" s="7"/>
      <c r="D178" s="7"/>
      <c r="E178" s="7"/>
      <c r="F178" s="7"/>
    </row>
    <row r="179" spans="1:6" ht="25.5">
      <c r="A179" s="5" t="s">
        <v>187</v>
      </c>
      <c r="B179" s="199" t="s">
        <v>188</v>
      </c>
      <c r="C179" s="199"/>
      <c r="D179" s="199"/>
      <c r="E179" s="199"/>
      <c r="F179" s="199"/>
    </row>
    <row r="180" spans="2:6" ht="12.75">
      <c r="B180" s="4">
        <v>10</v>
      </c>
      <c r="C180" s="4">
        <v>9</v>
      </c>
      <c r="D180" s="4">
        <v>8</v>
      </c>
      <c r="E180" s="4">
        <v>7</v>
      </c>
      <c r="F180" s="4">
        <v>6</v>
      </c>
    </row>
    <row r="181" spans="2:6" ht="12.75">
      <c r="B181" s="4" t="s">
        <v>189</v>
      </c>
      <c r="C181" s="4" t="s">
        <v>189</v>
      </c>
      <c r="D181" s="4" t="s">
        <v>189</v>
      </c>
      <c r="E181" s="4" t="s">
        <v>189</v>
      </c>
      <c r="F181" s="4" t="s">
        <v>189</v>
      </c>
    </row>
    <row r="182" spans="1:6" ht="12.75">
      <c r="A182" s="3">
        <v>12.5</v>
      </c>
      <c r="B182">
        <v>23.5</v>
      </c>
      <c r="C182">
        <v>32</v>
      </c>
      <c r="D182">
        <v>41.5</v>
      </c>
      <c r="E182">
        <v>50.5</v>
      </c>
      <c r="F182">
        <v>60</v>
      </c>
    </row>
    <row r="183" spans="1:6" ht="12.75">
      <c r="A183" s="3">
        <v>13</v>
      </c>
      <c r="B183">
        <v>26.5</v>
      </c>
      <c r="C183">
        <v>35</v>
      </c>
      <c r="D183">
        <v>44</v>
      </c>
      <c r="E183">
        <v>53</v>
      </c>
      <c r="F183">
        <v>62</v>
      </c>
    </row>
    <row r="184" spans="1:6" ht="12.75">
      <c r="A184" s="3">
        <v>13.5</v>
      </c>
      <c r="B184">
        <v>30</v>
      </c>
      <c r="C184">
        <v>38.5</v>
      </c>
      <c r="D184">
        <v>47</v>
      </c>
      <c r="E184">
        <v>55.5</v>
      </c>
      <c r="F184">
        <v>64</v>
      </c>
    </row>
    <row r="185" spans="1:6" ht="12.75">
      <c r="A185" s="3">
        <v>14</v>
      </c>
      <c r="B185">
        <v>33</v>
      </c>
      <c r="C185">
        <v>41</v>
      </c>
      <c r="D185">
        <v>49.5</v>
      </c>
      <c r="E185">
        <v>57.5</v>
      </c>
      <c r="F185">
        <v>65.5</v>
      </c>
    </row>
    <row r="186" spans="1:6" ht="12.75">
      <c r="A186" s="3">
        <v>14.5</v>
      </c>
      <c r="B186">
        <v>35.5</v>
      </c>
      <c r="C186">
        <v>43.5</v>
      </c>
      <c r="D186">
        <v>51.5</v>
      </c>
      <c r="E186">
        <v>59.5</v>
      </c>
      <c r="F186">
        <v>67.5</v>
      </c>
    </row>
    <row r="187" spans="1:6" ht="12.75">
      <c r="A187" s="3">
        <v>15</v>
      </c>
      <c r="B187">
        <v>38</v>
      </c>
      <c r="C187">
        <v>46</v>
      </c>
      <c r="D187">
        <v>53.5</v>
      </c>
      <c r="E187">
        <v>61</v>
      </c>
      <c r="F187">
        <v>69</v>
      </c>
    </row>
    <row r="188" spans="1:6" ht="12.75">
      <c r="A188" s="3">
        <v>15.5</v>
      </c>
      <c r="B188">
        <v>40.5</v>
      </c>
      <c r="C188">
        <v>48</v>
      </c>
      <c r="D188">
        <v>55.5</v>
      </c>
      <c r="E188">
        <v>63</v>
      </c>
      <c r="F188">
        <v>70.5</v>
      </c>
    </row>
    <row r="189" spans="1:6" ht="12.75">
      <c r="A189" s="3">
        <v>16</v>
      </c>
      <c r="B189">
        <v>43</v>
      </c>
      <c r="C189">
        <v>50.5</v>
      </c>
      <c r="D189">
        <v>57.5</v>
      </c>
      <c r="E189">
        <v>64.5</v>
      </c>
      <c r="F189">
        <v>72</v>
      </c>
    </row>
    <row r="190" spans="1:6" ht="12.75">
      <c r="A190" s="3">
        <v>16.5</v>
      </c>
      <c r="B190">
        <v>45</v>
      </c>
      <c r="C190">
        <v>52.5</v>
      </c>
      <c r="D190">
        <v>59</v>
      </c>
      <c r="E190">
        <v>66</v>
      </c>
      <c r="F190">
        <v>73</v>
      </c>
    </row>
    <row r="191" spans="1:6" ht="12.75">
      <c r="A191" s="3">
        <v>17</v>
      </c>
      <c r="B191">
        <v>47</v>
      </c>
      <c r="C191">
        <v>54</v>
      </c>
      <c r="D191">
        <v>61</v>
      </c>
      <c r="E191">
        <v>67.5</v>
      </c>
      <c r="F191">
        <v>74.5</v>
      </c>
    </row>
    <row r="192" spans="1:6" ht="12.75">
      <c r="A192" s="3">
        <v>17.5</v>
      </c>
      <c r="B192">
        <v>49.5</v>
      </c>
      <c r="C192">
        <v>56</v>
      </c>
      <c r="D192">
        <v>62.5</v>
      </c>
      <c r="E192">
        <v>69</v>
      </c>
      <c r="F192">
        <v>75.5</v>
      </c>
    </row>
    <row r="193" spans="1:6" ht="12.75">
      <c r="A193" s="3">
        <v>18</v>
      </c>
      <c r="B193">
        <v>51</v>
      </c>
      <c r="C193">
        <v>57.5</v>
      </c>
      <c r="D193">
        <v>64</v>
      </c>
      <c r="E193">
        <v>70</v>
      </c>
      <c r="F193">
        <v>76.5</v>
      </c>
    </row>
    <row r="194" spans="1:6" ht="12.75">
      <c r="A194" s="3">
        <v>18.5</v>
      </c>
      <c r="B194">
        <v>53</v>
      </c>
      <c r="C194">
        <v>59</v>
      </c>
      <c r="D194">
        <v>65</v>
      </c>
      <c r="E194">
        <v>71.5</v>
      </c>
      <c r="F194">
        <v>77.5</v>
      </c>
    </row>
    <row r="195" spans="1:6" ht="12.75">
      <c r="A195" s="3">
        <v>19</v>
      </c>
      <c r="B195">
        <v>54.5</v>
      </c>
      <c r="C195">
        <v>60.5</v>
      </c>
      <c r="D195">
        <v>66.5</v>
      </c>
      <c r="E195">
        <v>72.5</v>
      </c>
      <c r="F195">
        <v>78.5</v>
      </c>
    </row>
    <row r="196" spans="1:6" ht="12.75">
      <c r="A196" s="3">
        <v>19.5</v>
      </c>
      <c r="B196">
        <v>56</v>
      </c>
      <c r="C196">
        <v>62</v>
      </c>
      <c r="D196">
        <v>68</v>
      </c>
      <c r="E196">
        <v>73.5</v>
      </c>
      <c r="F196">
        <v>79.5</v>
      </c>
    </row>
    <row r="197" spans="1:6" ht="12.75">
      <c r="A197" s="3">
        <v>20</v>
      </c>
      <c r="B197">
        <v>57.5</v>
      </c>
      <c r="C197">
        <v>63</v>
      </c>
      <c r="D197">
        <v>69</v>
      </c>
      <c r="E197">
        <v>75</v>
      </c>
      <c r="F197">
        <v>80.5</v>
      </c>
    </row>
    <row r="198" spans="1:6" ht="12.75">
      <c r="A198" s="3">
        <v>20.5</v>
      </c>
      <c r="B198">
        <v>59</v>
      </c>
      <c r="C198">
        <v>64.5</v>
      </c>
      <c r="D198">
        <v>70</v>
      </c>
      <c r="E198">
        <v>76</v>
      </c>
      <c r="F198">
        <v>81.5</v>
      </c>
    </row>
    <row r="199" spans="1:6" ht="12.75">
      <c r="A199" s="3">
        <v>21</v>
      </c>
      <c r="B199">
        <v>60</v>
      </c>
      <c r="C199">
        <v>65.5</v>
      </c>
      <c r="D199">
        <v>71</v>
      </c>
      <c r="E199">
        <v>76.5</v>
      </c>
      <c r="F199">
        <v>82</v>
      </c>
    </row>
    <row r="200" spans="1:5" ht="12.75">
      <c r="A200" s="3">
        <v>21.5</v>
      </c>
      <c r="B200">
        <v>61.5</v>
      </c>
      <c r="C200">
        <v>67</v>
      </c>
      <c r="D200">
        <v>72</v>
      </c>
      <c r="E200">
        <v>77.5</v>
      </c>
    </row>
    <row r="201" spans="1:5" ht="12.75">
      <c r="A201" s="3">
        <v>22</v>
      </c>
      <c r="B201">
        <v>63</v>
      </c>
      <c r="C201">
        <v>68</v>
      </c>
      <c r="D201">
        <v>73.5</v>
      </c>
      <c r="E201">
        <v>78.5</v>
      </c>
    </row>
    <row r="202" spans="1:4" ht="12.75">
      <c r="A202" s="3">
        <v>22.5</v>
      </c>
      <c r="B202">
        <v>64</v>
      </c>
      <c r="C202">
        <v>69</v>
      </c>
      <c r="D202">
        <v>74</v>
      </c>
    </row>
    <row r="203" spans="1:4" ht="12.75">
      <c r="A203" s="3">
        <v>23</v>
      </c>
      <c r="B203">
        <v>65</v>
      </c>
      <c r="C203">
        <v>70</v>
      </c>
      <c r="D203">
        <v>75</v>
      </c>
    </row>
    <row r="204" spans="1:3" ht="12.75">
      <c r="A204" s="3">
        <v>23.5</v>
      </c>
      <c r="B204">
        <v>66</v>
      </c>
      <c r="C204">
        <v>71</v>
      </c>
    </row>
    <row r="205" spans="1:3" ht="12.75">
      <c r="A205" s="3">
        <v>24</v>
      </c>
      <c r="B205">
        <v>67</v>
      </c>
      <c r="C205">
        <v>72</v>
      </c>
    </row>
    <row r="206" spans="1:2" ht="12.75">
      <c r="A206" s="3">
        <v>24.5</v>
      </c>
      <c r="B206">
        <v>68</v>
      </c>
    </row>
    <row r="207" spans="1:2" ht="12.75">
      <c r="A207" s="3">
        <v>25</v>
      </c>
      <c r="B207">
        <v>69</v>
      </c>
    </row>
    <row r="212" spans="1:6" ht="12.75">
      <c r="A212" s="188" t="s">
        <v>191</v>
      </c>
      <c r="B212" s="188"/>
      <c r="C212" s="188"/>
      <c r="D212" s="188"/>
      <c r="E212" s="188"/>
      <c r="F212" s="188"/>
    </row>
    <row r="213" spans="1:6" ht="12.75">
      <c r="A213" t="s">
        <v>192</v>
      </c>
      <c r="B213" s="8"/>
      <c r="C213" s="8"/>
      <c r="D213" s="8"/>
      <c r="E213" s="8"/>
      <c r="F213" s="8"/>
    </row>
    <row r="214" spans="1:6" ht="12.75">
      <c r="A214" t="s">
        <v>193</v>
      </c>
      <c r="B214" s="8"/>
      <c r="C214" s="8"/>
      <c r="D214" s="8"/>
      <c r="E214" s="8"/>
      <c r="F214" s="8"/>
    </row>
    <row r="215" ht="12.75">
      <c r="A215" t="s">
        <v>194</v>
      </c>
    </row>
    <row r="216" spans="1:9" ht="25.5" customHeight="1">
      <c r="A216" s="4" t="s">
        <v>187</v>
      </c>
      <c r="B216" s="198" t="s">
        <v>195</v>
      </c>
      <c r="C216" s="198"/>
      <c r="D216" s="198"/>
      <c r="E216" s="198"/>
      <c r="F216" s="198"/>
      <c r="I216" s="127" t="s">
        <v>439</v>
      </c>
    </row>
    <row r="217" spans="1:6" ht="12.75">
      <c r="A217" t="s">
        <v>196</v>
      </c>
      <c r="B217" s="9">
        <v>0.25</v>
      </c>
      <c r="C217" s="9">
        <v>0.3</v>
      </c>
      <c r="D217" s="9">
        <v>0.35</v>
      </c>
      <c r="E217" s="9">
        <v>0.4</v>
      </c>
      <c r="F217" s="9">
        <v>0.45</v>
      </c>
    </row>
    <row r="218" spans="1:6" ht="12.75">
      <c r="A218" s="8">
        <v>12.5</v>
      </c>
      <c r="B218" s="10">
        <v>9</v>
      </c>
      <c r="C218" s="10">
        <v>7.9</v>
      </c>
      <c r="D218" s="10">
        <v>6.6</v>
      </c>
      <c r="E218" s="10">
        <v>5</v>
      </c>
      <c r="F218" s="10">
        <v>3.2</v>
      </c>
    </row>
    <row r="219" spans="1:6" ht="12.75">
      <c r="A219" s="10">
        <v>13</v>
      </c>
      <c r="B219" s="10">
        <v>9.4</v>
      </c>
      <c r="C219" s="10">
        <v>8.2</v>
      </c>
      <c r="D219" s="10">
        <v>6.8</v>
      </c>
      <c r="E219" s="10">
        <v>5.2</v>
      </c>
      <c r="F219" s="10">
        <v>3.3</v>
      </c>
    </row>
    <row r="220" spans="1:6" ht="12.75">
      <c r="A220" s="10">
        <v>13.5</v>
      </c>
      <c r="B220" s="10">
        <v>9.6</v>
      </c>
      <c r="C220" s="10">
        <v>8.5</v>
      </c>
      <c r="D220" s="10">
        <v>7</v>
      </c>
      <c r="E220" s="10">
        <v>5.3</v>
      </c>
      <c r="F220" s="10">
        <v>3.4</v>
      </c>
    </row>
    <row r="221" spans="1:6" ht="12.75">
      <c r="A221" s="10">
        <v>14</v>
      </c>
      <c r="B221" s="10">
        <v>10</v>
      </c>
      <c r="C221" s="10">
        <v>8.7</v>
      </c>
      <c r="D221" s="10">
        <v>7.3</v>
      </c>
      <c r="E221" s="10">
        <v>5.5</v>
      </c>
      <c r="F221" s="10">
        <v>3.5</v>
      </c>
    </row>
    <row r="222" spans="1:6" ht="12.75">
      <c r="A222" s="10">
        <v>14.5</v>
      </c>
      <c r="B222" s="10">
        <v>10.4</v>
      </c>
      <c r="C222" s="10">
        <v>9</v>
      </c>
      <c r="D222" s="10">
        <v>7.5</v>
      </c>
      <c r="E222" s="10">
        <v>5.7</v>
      </c>
      <c r="F222" s="10">
        <v>3.6</v>
      </c>
    </row>
    <row r="223" spans="1:6" ht="12.75">
      <c r="A223" s="10">
        <v>15</v>
      </c>
      <c r="B223" s="10">
        <v>10.7</v>
      </c>
      <c r="C223" s="10">
        <v>9.3</v>
      </c>
      <c r="D223" s="10">
        <v>7.7</v>
      </c>
      <c r="E223" s="10">
        <v>5.9</v>
      </c>
      <c r="F223" s="10">
        <v>3.7</v>
      </c>
    </row>
    <row r="224" spans="1:6" ht="12.75">
      <c r="A224" s="10">
        <v>15.5</v>
      </c>
      <c r="B224" s="10">
        <v>11</v>
      </c>
      <c r="C224" s="10">
        <v>9.6</v>
      </c>
      <c r="D224" s="10">
        <v>8</v>
      </c>
      <c r="E224" s="10">
        <v>6</v>
      </c>
      <c r="F224" s="10">
        <v>3.8</v>
      </c>
    </row>
    <row r="225" spans="1:6" ht="12.75">
      <c r="A225" s="10">
        <v>16</v>
      </c>
      <c r="B225" s="10">
        <v>11.4</v>
      </c>
      <c r="C225" s="10">
        <v>9.9</v>
      </c>
      <c r="D225" s="10">
        <v>8.2</v>
      </c>
      <c r="E225" s="10">
        <v>6.2</v>
      </c>
      <c r="F225" s="10">
        <v>3.9</v>
      </c>
    </row>
    <row r="226" spans="1:6" ht="12.75">
      <c r="A226" s="10">
        <v>16.5</v>
      </c>
      <c r="B226" s="10">
        <v>11.7</v>
      </c>
      <c r="C226" s="10">
        <v>10.1571428571429</v>
      </c>
      <c r="D226" s="10">
        <v>8.4</v>
      </c>
      <c r="E226" s="10">
        <v>6.4</v>
      </c>
      <c r="F226" s="10">
        <v>4</v>
      </c>
    </row>
    <row r="227" spans="1:6" ht="12.75">
      <c r="A227" s="10">
        <v>17</v>
      </c>
      <c r="B227" s="10">
        <v>12</v>
      </c>
      <c r="C227" s="10">
        <v>10.4392857142857</v>
      </c>
      <c r="D227" s="10">
        <v>8.7</v>
      </c>
      <c r="E227" s="10">
        <v>6.5</v>
      </c>
      <c r="F227" s="10">
        <v>4.1</v>
      </c>
    </row>
    <row r="228" spans="1:6" ht="12.75">
      <c r="A228" s="10">
        <v>17.5</v>
      </c>
      <c r="B228" s="10">
        <v>12.4</v>
      </c>
      <c r="C228" s="10">
        <v>10.7214285714286</v>
      </c>
      <c r="D228" s="10">
        <v>8.9</v>
      </c>
      <c r="E228" s="10">
        <v>6.7</v>
      </c>
      <c r="F228" s="10">
        <v>4.2</v>
      </c>
    </row>
    <row r="229" spans="1:6" ht="12.75">
      <c r="A229" s="10">
        <v>18</v>
      </c>
      <c r="B229" s="10">
        <v>12.7</v>
      </c>
      <c r="C229" s="10">
        <v>11.0035714285714</v>
      </c>
      <c r="D229" s="10">
        <v>9.1</v>
      </c>
      <c r="E229" s="10">
        <v>6.9</v>
      </c>
      <c r="F229" s="10">
        <v>4.3</v>
      </c>
    </row>
    <row r="230" spans="1:6" ht="12.75">
      <c r="A230" s="10">
        <v>18.5</v>
      </c>
      <c r="B230" s="10">
        <v>13</v>
      </c>
      <c r="C230" s="10">
        <v>11.2857142857143</v>
      </c>
      <c r="D230" s="10">
        <v>9.4</v>
      </c>
      <c r="E230" s="10">
        <v>7</v>
      </c>
      <c r="F230" s="10">
        <v>4.4</v>
      </c>
    </row>
    <row r="231" spans="1:6" ht="12.75">
      <c r="A231" s="10">
        <v>19</v>
      </c>
      <c r="B231" s="10">
        <v>13.4</v>
      </c>
      <c r="C231" s="10">
        <v>11.5678571428571</v>
      </c>
      <c r="D231" s="10">
        <v>9.6</v>
      </c>
      <c r="E231" s="10">
        <v>7.2</v>
      </c>
      <c r="F231" s="10">
        <v>4.5</v>
      </c>
    </row>
    <row r="232" spans="1:6" ht="12.75">
      <c r="A232" s="10">
        <v>19.5</v>
      </c>
      <c r="B232" s="10">
        <v>13.7</v>
      </c>
      <c r="C232" s="10">
        <v>11.85</v>
      </c>
      <c r="D232" s="10">
        <v>9.8</v>
      </c>
      <c r="E232" s="10">
        <v>7.4</v>
      </c>
      <c r="F232" s="10">
        <v>4.6</v>
      </c>
    </row>
    <row r="233" spans="1:6" ht="12.75">
      <c r="A233" s="10">
        <v>20</v>
      </c>
      <c r="B233" s="10">
        <v>14</v>
      </c>
      <c r="C233" s="10">
        <v>12.1321428571429</v>
      </c>
      <c r="D233" s="10">
        <v>10</v>
      </c>
      <c r="E233" s="10">
        <v>7.5</v>
      </c>
      <c r="F233" s="10">
        <v>4.69999999999999</v>
      </c>
    </row>
    <row r="234" spans="1:6" ht="12.75">
      <c r="A234" s="10">
        <v>20.5</v>
      </c>
      <c r="B234" s="10">
        <v>14.4</v>
      </c>
      <c r="C234" s="10">
        <v>12.4142857142857</v>
      </c>
      <c r="D234" s="10">
        <v>10.3</v>
      </c>
      <c r="E234" s="10">
        <v>7.7</v>
      </c>
      <c r="F234" s="10">
        <v>4.79999999999999</v>
      </c>
    </row>
    <row r="235" spans="1:6" ht="12.75">
      <c r="A235" s="10">
        <v>21</v>
      </c>
      <c r="B235" s="10">
        <v>14.72</v>
      </c>
      <c r="C235" s="10">
        <v>12.6964285714286</v>
      </c>
      <c r="D235" s="10">
        <v>10.5</v>
      </c>
      <c r="E235" s="10">
        <v>7.9</v>
      </c>
      <c r="F235" s="10">
        <v>4.89999999999999</v>
      </c>
    </row>
    <row r="236" spans="1:6" ht="12.75">
      <c r="A236" s="10">
        <v>21.5</v>
      </c>
      <c r="B236" s="10">
        <v>15.06</v>
      </c>
      <c r="C236" s="10">
        <v>12.9785714285714</v>
      </c>
      <c r="D236" s="10">
        <v>10.7</v>
      </c>
      <c r="E236" s="10">
        <v>8</v>
      </c>
      <c r="F236" s="10">
        <v>4.99999999999999</v>
      </c>
    </row>
    <row r="237" spans="1:6" ht="12.75">
      <c r="A237" s="10">
        <v>22</v>
      </c>
      <c r="B237" s="10">
        <v>15.4</v>
      </c>
      <c r="C237" s="10">
        <v>13.2607142857143</v>
      </c>
      <c r="D237" s="10">
        <v>11</v>
      </c>
      <c r="E237" s="10">
        <v>8.2</v>
      </c>
      <c r="F237" s="10">
        <v>5.09999999999999</v>
      </c>
    </row>
    <row r="238" spans="1:6" ht="12.75">
      <c r="A238" s="10">
        <v>22.5</v>
      </c>
      <c r="B238" s="10">
        <v>15.74</v>
      </c>
      <c r="C238" s="10">
        <v>13.5428571428572</v>
      </c>
      <c r="D238" s="10">
        <v>11.2</v>
      </c>
      <c r="E238" s="10">
        <v>8.4</v>
      </c>
      <c r="F238" s="10">
        <v>5.19999999999999</v>
      </c>
    </row>
    <row r="239" spans="1:6" ht="12.75">
      <c r="A239" s="10">
        <v>23</v>
      </c>
      <c r="B239" s="10">
        <v>16.08</v>
      </c>
      <c r="C239" s="10">
        <v>13.825</v>
      </c>
      <c r="D239" s="10">
        <v>11.6</v>
      </c>
      <c r="E239" s="10">
        <v>8.5</v>
      </c>
      <c r="F239" s="10">
        <v>5.29999999999999</v>
      </c>
    </row>
    <row r="240" spans="1:6" ht="12.75">
      <c r="A240" s="10">
        <v>23.5</v>
      </c>
      <c r="B240" s="10">
        <v>16.42</v>
      </c>
      <c r="C240" s="10">
        <v>14.1071428571429</v>
      </c>
      <c r="D240" s="10">
        <v>11.7</v>
      </c>
      <c r="E240" s="10">
        <v>8.7</v>
      </c>
      <c r="F240" s="10">
        <v>5.39999999999999</v>
      </c>
    </row>
    <row r="241" spans="1:6" ht="12.75">
      <c r="A241" s="10">
        <v>24</v>
      </c>
      <c r="B241" s="10">
        <v>16.76</v>
      </c>
      <c r="C241" s="10">
        <v>14.3892857142857</v>
      </c>
      <c r="D241" s="10">
        <v>11.9</v>
      </c>
      <c r="E241" s="10">
        <v>8.8</v>
      </c>
      <c r="F241" s="10">
        <v>5.49999999999999</v>
      </c>
    </row>
    <row r="242" spans="1:6" ht="12.75">
      <c r="A242" s="10">
        <v>24.5</v>
      </c>
      <c r="B242" s="10">
        <v>17.1</v>
      </c>
      <c r="C242" s="10">
        <v>14.6714285714286</v>
      </c>
      <c r="D242" s="10">
        <v>12.1</v>
      </c>
      <c r="E242" s="10">
        <v>9</v>
      </c>
      <c r="F242" s="10">
        <v>5.59999999999999</v>
      </c>
    </row>
    <row r="243" spans="1:6" ht="12.75">
      <c r="A243" s="10">
        <v>25</v>
      </c>
      <c r="B243" s="10">
        <v>17.44</v>
      </c>
      <c r="C243" s="10">
        <v>14.9535714285714</v>
      </c>
      <c r="D243" s="10">
        <v>12.3</v>
      </c>
      <c r="E243" s="10">
        <v>9.1</v>
      </c>
      <c r="F243" s="10">
        <v>5.69999999999999</v>
      </c>
    </row>
    <row r="247" ht="12.75">
      <c r="A247" s="1" t="s">
        <v>197</v>
      </c>
    </row>
    <row r="248" spans="1:2" ht="12.75">
      <c r="A248" s="1"/>
      <c r="B248" t="s">
        <v>198</v>
      </c>
    </row>
    <row r="249" spans="2:7" ht="12.75">
      <c r="B249" t="s">
        <v>183</v>
      </c>
      <c r="C249" t="s">
        <v>199</v>
      </c>
      <c r="D249" t="s">
        <v>200</v>
      </c>
      <c r="E249" t="s">
        <v>201</v>
      </c>
      <c r="F249" t="s">
        <v>202</v>
      </c>
      <c r="G249" t="s">
        <v>203</v>
      </c>
    </row>
    <row r="250" spans="1:7" ht="12.75">
      <c r="A250">
        <v>1</v>
      </c>
      <c r="B250">
        <f aca="true" t="shared" si="0" ref="B250:B299">A250*0.893</f>
        <v>0.893</v>
      </c>
      <c r="C250">
        <f aca="true" t="shared" si="1" ref="C250:C299">A250*0.853</f>
        <v>0.853</v>
      </c>
      <c r="D250">
        <v>1</v>
      </c>
      <c r="E250">
        <f aca="true" t="shared" si="2" ref="E250:E299">(A250*1.2)/0.5</f>
        <v>2.4</v>
      </c>
      <c r="F250">
        <f aca="true" t="shared" si="3" ref="F250:F299">(A250*1.2)/0.8</f>
        <v>1.4999999999999998</v>
      </c>
      <c r="G250" s="3">
        <f aca="true" t="shared" si="4" ref="G250:G299">(A250*1.2)/0.9</f>
        <v>1.3333333333333333</v>
      </c>
    </row>
    <row r="251" spans="1:7" ht="12.75">
      <c r="A251">
        <v>2</v>
      </c>
      <c r="B251">
        <f t="shared" si="0"/>
        <v>1.786</v>
      </c>
      <c r="C251">
        <f t="shared" si="1"/>
        <v>1.706</v>
      </c>
      <c r="D251">
        <v>2</v>
      </c>
      <c r="E251">
        <f t="shared" si="2"/>
        <v>4.8</v>
      </c>
      <c r="F251">
        <f t="shared" si="3"/>
        <v>2.9999999999999996</v>
      </c>
      <c r="G251" s="3">
        <f t="shared" si="4"/>
        <v>2.6666666666666665</v>
      </c>
    </row>
    <row r="252" spans="1:7" ht="12.75">
      <c r="A252">
        <v>3</v>
      </c>
      <c r="B252">
        <f t="shared" si="0"/>
        <v>2.6790000000000003</v>
      </c>
      <c r="C252">
        <f t="shared" si="1"/>
        <v>2.559</v>
      </c>
      <c r="D252">
        <v>3</v>
      </c>
      <c r="E252">
        <f t="shared" si="2"/>
        <v>7.199999999999999</v>
      </c>
      <c r="F252">
        <f t="shared" si="3"/>
        <v>4.499999999999999</v>
      </c>
      <c r="G252" s="3">
        <f t="shared" si="4"/>
        <v>3.9999999999999996</v>
      </c>
    </row>
    <row r="253" spans="1:7" ht="12.75">
      <c r="A253">
        <v>4</v>
      </c>
      <c r="B253">
        <f t="shared" si="0"/>
        <v>3.572</v>
      </c>
      <c r="C253">
        <f t="shared" si="1"/>
        <v>3.412</v>
      </c>
      <c r="D253">
        <v>4</v>
      </c>
      <c r="E253">
        <f t="shared" si="2"/>
        <v>9.6</v>
      </c>
      <c r="F253">
        <f t="shared" si="3"/>
        <v>5.999999999999999</v>
      </c>
      <c r="G253" s="3">
        <f t="shared" si="4"/>
        <v>5.333333333333333</v>
      </c>
    </row>
    <row r="254" spans="1:7" ht="12.75">
      <c r="A254">
        <v>5</v>
      </c>
      <c r="B254">
        <f t="shared" si="0"/>
        <v>4.465</v>
      </c>
      <c r="C254">
        <f t="shared" si="1"/>
        <v>4.265</v>
      </c>
      <c r="D254">
        <v>5</v>
      </c>
      <c r="E254">
        <f t="shared" si="2"/>
        <v>12</v>
      </c>
      <c r="F254">
        <f t="shared" si="3"/>
        <v>7.5</v>
      </c>
      <c r="G254" s="3">
        <f t="shared" si="4"/>
        <v>6.666666666666666</v>
      </c>
    </row>
    <row r="255" spans="1:7" ht="12.75">
      <c r="A255">
        <v>6</v>
      </c>
      <c r="B255">
        <f t="shared" si="0"/>
        <v>5.3580000000000005</v>
      </c>
      <c r="C255">
        <f t="shared" si="1"/>
        <v>5.118</v>
      </c>
      <c r="D255">
        <v>6</v>
      </c>
      <c r="E255">
        <f t="shared" si="2"/>
        <v>14.399999999999999</v>
      </c>
      <c r="F255">
        <f t="shared" si="3"/>
        <v>8.999999999999998</v>
      </c>
      <c r="G255" s="3">
        <f t="shared" si="4"/>
        <v>7.999999999999999</v>
      </c>
    </row>
    <row r="256" spans="1:7" ht="12.75">
      <c r="A256">
        <v>7</v>
      </c>
      <c r="B256">
        <f t="shared" si="0"/>
        <v>6.251</v>
      </c>
      <c r="C256">
        <f t="shared" si="1"/>
        <v>5.971</v>
      </c>
      <c r="D256">
        <v>7</v>
      </c>
      <c r="E256">
        <f t="shared" si="2"/>
        <v>16.8</v>
      </c>
      <c r="F256">
        <f t="shared" si="3"/>
        <v>10.5</v>
      </c>
      <c r="G256" s="3">
        <f t="shared" si="4"/>
        <v>9.333333333333334</v>
      </c>
    </row>
    <row r="257" spans="1:7" ht="12.75">
      <c r="A257">
        <v>8</v>
      </c>
      <c r="B257">
        <f t="shared" si="0"/>
        <v>7.144</v>
      </c>
      <c r="C257">
        <f t="shared" si="1"/>
        <v>6.824</v>
      </c>
      <c r="D257">
        <v>8</v>
      </c>
      <c r="E257">
        <f t="shared" si="2"/>
        <v>19.2</v>
      </c>
      <c r="F257">
        <f t="shared" si="3"/>
        <v>11.999999999999998</v>
      </c>
      <c r="G257" s="3">
        <f t="shared" si="4"/>
        <v>10.666666666666666</v>
      </c>
    </row>
    <row r="258" spans="1:7" ht="12.75">
      <c r="A258">
        <v>9</v>
      </c>
      <c r="B258">
        <f t="shared" si="0"/>
        <v>8.037</v>
      </c>
      <c r="C258">
        <f t="shared" si="1"/>
        <v>7.677</v>
      </c>
      <c r="D258">
        <v>9</v>
      </c>
      <c r="E258">
        <f t="shared" si="2"/>
        <v>21.599999999999998</v>
      </c>
      <c r="F258">
        <f t="shared" si="3"/>
        <v>13.499999999999998</v>
      </c>
      <c r="G258" s="3">
        <f t="shared" si="4"/>
        <v>11.999999999999998</v>
      </c>
    </row>
    <row r="259" spans="1:7" ht="12.75">
      <c r="A259">
        <v>10</v>
      </c>
      <c r="B259">
        <f t="shared" si="0"/>
        <v>8.93</v>
      </c>
      <c r="C259">
        <f t="shared" si="1"/>
        <v>8.53</v>
      </c>
      <c r="D259">
        <v>10</v>
      </c>
      <c r="E259">
        <f t="shared" si="2"/>
        <v>24</v>
      </c>
      <c r="F259">
        <f t="shared" si="3"/>
        <v>15</v>
      </c>
      <c r="G259" s="3">
        <f t="shared" si="4"/>
        <v>13.333333333333332</v>
      </c>
    </row>
    <row r="260" spans="1:7" ht="12.75">
      <c r="A260">
        <v>11</v>
      </c>
      <c r="B260">
        <f t="shared" si="0"/>
        <v>9.823</v>
      </c>
      <c r="C260">
        <f t="shared" si="1"/>
        <v>9.383</v>
      </c>
      <c r="D260">
        <v>11</v>
      </c>
      <c r="E260">
        <f t="shared" si="2"/>
        <v>26.4</v>
      </c>
      <c r="F260">
        <f t="shared" si="3"/>
        <v>16.499999999999996</v>
      </c>
      <c r="G260" s="3">
        <f t="shared" si="4"/>
        <v>14.666666666666666</v>
      </c>
    </row>
    <row r="261" spans="1:7" ht="12.75">
      <c r="A261">
        <v>12</v>
      </c>
      <c r="B261">
        <f t="shared" si="0"/>
        <v>10.716000000000001</v>
      </c>
      <c r="C261">
        <f t="shared" si="1"/>
        <v>10.236</v>
      </c>
      <c r="D261">
        <v>12</v>
      </c>
      <c r="E261">
        <f t="shared" si="2"/>
        <v>28.799999999999997</v>
      </c>
      <c r="F261">
        <f t="shared" si="3"/>
        <v>17.999999999999996</v>
      </c>
      <c r="G261" s="3">
        <f t="shared" si="4"/>
        <v>15.999999999999998</v>
      </c>
    </row>
    <row r="262" spans="1:7" ht="12.75">
      <c r="A262">
        <v>13</v>
      </c>
      <c r="B262">
        <f t="shared" si="0"/>
        <v>11.609</v>
      </c>
      <c r="C262">
        <f t="shared" si="1"/>
        <v>11.089</v>
      </c>
      <c r="D262">
        <v>13</v>
      </c>
      <c r="E262">
        <f t="shared" si="2"/>
        <v>31.2</v>
      </c>
      <c r="F262">
        <f t="shared" si="3"/>
        <v>19.5</v>
      </c>
      <c r="G262" s="3">
        <f t="shared" si="4"/>
        <v>17.333333333333332</v>
      </c>
    </row>
    <row r="263" spans="1:7" ht="12.75">
      <c r="A263">
        <v>14</v>
      </c>
      <c r="B263">
        <f t="shared" si="0"/>
        <v>12.502</v>
      </c>
      <c r="C263">
        <f t="shared" si="1"/>
        <v>11.942</v>
      </c>
      <c r="D263">
        <v>14</v>
      </c>
      <c r="E263">
        <f t="shared" si="2"/>
        <v>33.6</v>
      </c>
      <c r="F263">
        <f t="shared" si="3"/>
        <v>21</v>
      </c>
      <c r="G263" s="3">
        <f t="shared" si="4"/>
        <v>18.666666666666668</v>
      </c>
    </row>
    <row r="264" spans="1:7" ht="12.75">
      <c r="A264">
        <v>15</v>
      </c>
      <c r="B264">
        <f t="shared" si="0"/>
        <v>13.395</v>
      </c>
      <c r="C264">
        <f t="shared" si="1"/>
        <v>12.795</v>
      </c>
      <c r="D264">
        <v>15</v>
      </c>
      <c r="E264">
        <f t="shared" si="2"/>
        <v>36</v>
      </c>
      <c r="F264">
        <f t="shared" si="3"/>
        <v>22.5</v>
      </c>
      <c r="G264" s="3">
        <f t="shared" si="4"/>
        <v>20</v>
      </c>
    </row>
    <row r="265" spans="1:7" ht="12.75">
      <c r="A265">
        <v>16</v>
      </c>
      <c r="B265">
        <f t="shared" si="0"/>
        <v>14.288</v>
      </c>
      <c r="C265">
        <f t="shared" si="1"/>
        <v>13.648</v>
      </c>
      <c r="D265">
        <v>16</v>
      </c>
      <c r="E265">
        <f t="shared" si="2"/>
        <v>38.4</v>
      </c>
      <c r="F265">
        <f t="shared" si="3"/>
        <v>23.999999999999996</v>
      </c>
      <c r="G265" s="3">
        <f t="shared" si="4"/>
        <v>21.333333333333332</v>
      </c>
    </row>
    <row r="266" spans="1:7" ht="12.75">
      <c r="A266">
        <v>17</v>
      </c>
      <c r="B266">
        <f t="shared" si="0"/>
        <v>15.181000000000001</v>
      </c>
      <c r="C266">
        <f t="shared" si="1"/>
        <v>14.501</v>
      </c>
      <c r="D266">
        <v>17</v>
      </c>
      <c r="E266">
        <f t="shared" si="2"/>
        <v>40.8</v>
      </c>
      <c r="F266">
        <f t="shared" si="3"/>
        <v>25.499999999999996</v>
      </c>
      <c r="G266" s="3">
        <f t="shared" si="4"/>
        <v>22.666666666666664</v>
      </c>
    </row>
    <row r="267" spans="1:7" ht="12.75">
      <c r="A267">
        <v>18</v>
      </c>
      <c r="B267">
        <f t="shared" si="0"/>
        <v>16.074</v>
      </c>
      <c r="C267">
        <f t="shared" si="1"/>
        <v>15.354</v>
      </c>
      <c r="D267">
        <v>18</v>
      </c>
      <c r="E267">
        <f t="shared" si="2"/>
        <v>43.199999999999996</v>
      </c>
      <c r="F267">
        <f t="shared" si="3"/>
        <v>26.999999999999996</v>
      </c>
      <c r="G267" s="3">
        <f t="shared" si="4"/>
        <v>23.999999999999996</v>
      </c>
    </row>
    <row r="268" spans="1:7" ht="12.75">
      <c r="A268">
        <v>19</v>
      </c>
      <c r="B268">
        <f t="shared" si="0"/>
        <v>16.967</v>
      </c>
      <c r="C268">
        <f t="shared" si="1"/>
        <v>16.207</v>
      </c>
      <c r="D268">
        <v>19</v>
      </c>
      <c r="E268">
        <f t="shared" si="2"/>
        <v>45.6</v>
      </c>
      <c r="F268">
        <f t="shared" si="3"/>
        <v>28.5</v>
      </c>
      <c r="G268" s="3">
        <f t="shared" si="4"/>
        <v>25.333333333333332</v>
      </c>
    </row>
    <row r="269" spans="1:7" ht="12.75">
      <c r="A269">
        <v>20</v>
      </c>
      <c r="B269">
        <f t="shared" si="0"/>
        <v>17.86</v>
      </c>
      <c r="C269">
        <f t="shared" si="1"/>
        <v>17.06</v>
      </c>
      <c r="D269">
        <v>20</v>
      </c>
      <c r="E269">
        <f t="shared" si="2"/>
        <v>48</v>
      </c>
      <c r="F269">
        <f t="shared" si="3"/>
        <v>30</v>
      </c>
      <c r="G269" s="3">
        <f t="shared" si="4"/>
        <v>26.666666666666664</v>
      </c>
    </row>
    <row r="270" spans="1:7" ht="12.75">
      <c r="A270">
        <v>21</v>
      </c>
      <c r="B270">
        <f t="shared" si="0"/>
        <v>18.753</v>
      </c>
      <c r="C270">
        <f t="shared" si="1"/>
        <v>17.913</v>
      </c>
      <c r="D270">
        <v>21</v>
      </c>
      <c r="E270">
        <f t="shared" si="2"/>
        <v>50.4</v>
      </c>
      <c r="F270">
        <f t="shared" si="3"/>
        <v>31.499999999999996</v>
      </c>
      <c r="G270" s="3">
        <f t="shared" si="4"/>
        <v>28</v>
      </c>
    </row>
    <row r="271" spans="1:9" ht="12.75">
      <c r="A271">
        <v>22</v>
      </c>
      <c r="B271">
        <f t="shared" si="0"/>
        <v>19.646</v>
      </c>
      <c r="C271">
        <f t="shared" si="1"/>
        <v>18.766</v>
      </c>
      <c r="D271">
        <v>22</v>
      </c>
      <c r="E271">
        <f t="shared" si="2"/>
        <v>52.8</v>
      </c>
      <c r="F271">
        <f t="shared" si="3"/>
        <v>32.99999999999999</v>
      </c>
      <c r="G271" s="3">
        <f t="shared" si="4"/>
        <v>29.333333333333332</v>
      </c>
      <c r="I271" s="8" t="s">
        <v>440</v>
      </c>
    </row>
    <row r="272" spans="1:7" ht="12.75">
      <c r="A272">
        <v>23</v>
      </c>
      <c r="B272">
        <f t="shared" si="0"/>
        <v>20.539</v>
      </c>
      <c r="C272">
        <f t="shared" si="1"/>
        <v>19.619</v>
      </c>
      <c r="D272">
        <v>23</v>
      </c>
      <c r="E272">
        <f t="shared" si="2"/>
        <v>55.199999999999996</v>
      </c>
      <c r="F272">
        <f t="shared" si="3"/>
        <v>34.49999999999999</v>
      </c>
      <c r="G272" s="3">
        <f t="shared" si="4"/>
        <v>30.666666666666664</v>
      </c>
    </row>
    <row r="273" spans="1:7" ht="12.75">
      <c r="A273">
        <v>24</v>
      </c>
      <c r="B273">
        <f t="shared" si="0"/>
        <v>21.432000000000002</v>
      </c>
      <c r="C273">
        <f t="shared" si="1"/>
        <v>20.472</v>
      </c>
      <c r="D273">
        <v>24</v>
      </c>
      <c r="E273">
        <f t="shared" si="2"/>
        <v>57.599999999999994</v>
      </c>
      <c r="F273">
        <f t="shared" si="3"/>
        <v>35.99999999999999</v>
      </c>
      <c r="G273" s="3">
        <f t="shared" si="4"/>
        <v>31.999999999999996</v>
      </c>
    </row>
    <row r="274" spans="1:7" ht="12.75">
      <c r="A274">
        <v>25</v>
      </c>
      <c r="B274">
        <f t="shared" si="0"/>
        <v>22.325</v>
      </c>
      <c r="C274">
        <f t="shared" si="1"/>
        <v>21.325</v>
      </c>
      <c r="D274">
        <v>25</v>
      </c>
      <c r="E274">
        <f t="shared" si="2"/>
        <v>60</v>
      </c>
      <c r="F274">
        <f t="shared" si="3"/>
        <v>37.5</v>
      </c>
      <c r="G274" s="3">
        <f t="shared" si="4"/>
        <v>33.333333333333336</v>
      </c>
    </row>
    <row r="275" spans="1:7" ht="12.75">
      <c r="A275">
        <v>26</v>
      </c>
      <c r="B275">
        <f t="shared" si="0"/>
        <v>23.218</v>
      </c>
      <c r="C275">
        <f t="shared" si="1"/>
        <v>22.178</v>
      </c>
      <c r="D275">
        <v>26</v>
      </c>
      <c r="E275">
        <f t="shared" si="2"/>
        <v>62.4</v>
      </c>
      <c r="F275">
        <f t="shared" si="3"/>
        <v>39</v>
      </c>
      <c r="G275" s="3">
        <f t="shared" si="4"/>
        <v>34.666666666666664</v>
      </c>
    </row>
    <row r="276" spans="1:7" ht="12.75">
      <c r="A276">
        <v>27</v>
      </c>
      <c r="B276">
        <f t="shared" si="0"/>
        <v>24.111</v>
      </c>
      <c r="C276">
        <f t="shared" si="1"/>
        <v>23.031</v>
      </c>
      <c r="D276">
        <v>27</v>
      </c>
      <c r="E276">
        <f t="shared" si="2"/>
        <v>64.8</v>
      </c>
      <c r="F276">
        <f t="shared" si="3"/>
        <v>40.49999999999999</v>
      </c>
      <c r="G276" s="3">
        <f t="shared" si="4"/>
        <v>36</v>
      </c>
    </row>
    <row r="277" spans="1:7" ht="12.75">
      <c r="A277">
        <v>28</v>
      </c>
      <c r="B277">
        <f t="shared" si="0"/>
        <v>25.004</v>
      </c>
      <c r="C277">
        <f t="shared" si="1"/>
        <v>23.884</v>
      </c>
      <c r="D277">
        <v>28</v>
      </c>
      <c r="E277">
        <f t="shared" si="2"/>
        <v>67.2</v>
      </c>
      <c r="F277">
        <f t="shared" si="3"/>
        <v>42</v>
      </c>
      <c r="G277" s="3">
        <f t="shared" si="4"/>
        <v>37.333333333333336</v>
      </c>
    </row>
    <row r="278" spans="1:7" ht="12.75">
      <c r="A278">
        <v>29</v>
      </c>
      <c r="B278">
        <f t="shared" si="0"/>
        <v>25.897000000000002</v>
      </c>
      <c r="C278">
        <f t="shared" si="1"/>
        <v>24.737</v>
      </c>
      <c r="D278">
        <v>29</v>
      </c>
      <c r="E278">
        <f t="shared" si="2"/>
        <v>69.6</v>
      </c>
      <c r="F278">
        <f t="shared" si="3"/>
        <v>43.49999999999999</v>
      </c>
      <c r="G278" s="3">
        <f t="shared" si="4"/>
        <v>38.666666666666664</v>
      </c>
    </row>
    <row r="279" spans="1:7" ht="12.75">
      <c r="A279">
        <v>30</v>
      </c>
      <c r="B279">
        <f t="shared" si="0"/>
        <v>26.79</v>
      </c>
      <c r="C279">
        <f t="shared" si="1"/>
        <v>25.59</v>
      </c>
      <c r="D279">
        <v>30</v>
      </c>
      <c r="E279">
        <f t="shared" si="2"/>
        <v>72</v>
      </c>
      <c r="F279">
        <f t="shared" si="3"/>
        <v>45</v>
      </c>
      <c r="G279" s="3">
        <f t="shared" si="4"/>
        <v>40</v>
      </c>
    </row>
    <row r="280" spans="1:7" ht="12.75">
      <c r="A280">
        <v>31</v>
      </c>
      <c r="B280">
        <f t="shared" si="0"/>
        <v>27.683</v>
      </c>
      <c r="C280">
        <f t="shared" si="1"/>
        <v>26.442999999999998</v>
      </c>
      <c r="D280">
        <v>31</v>
      </c>
      <c r="E280">
        <f t="shared" si="2"/>
        <v>74.39999999999999</v>
      </c>
      <c r="F280">
        <f t="shared" si="3"/>
        <v>46.49999999999999</v>
      </c>
      <c r="G280" s="3">
        <f t="shared" si="4"/>
        <v>41.33333333333333</v>
      </c>
    </row>
    <row r="281" spans="1:7" ht="12.75">
      <c r="A281">
        <v>32</v>
      </c>
      <c r="B281">
        <f t="shared" si="0"/>
        <v>28.576</v>
      </c>
      <c r="C281">
        <f t="shared" si="1"/>
        <v>27.296</v>
      </c>
      <c r="D281">
        <v>32</v>
      </c>
      <c r="E281">
        <f t="shared" si="2"/>
        <v>76.8</v>
      </c>
      <c r="F281">
        <f t="shared" si="3"/>
        <v>47.99999999999999</v>
      </c>
      <c r="G281" s="3">
        <f t="shared" si="4"/>
        <v>42.666666666666664</v>
      </c>
    </row>
    <row r="282" spans="1:7" ht="12.75">
      <c r="A282">
        <v>33</v>
      </c>
      <c r="B282">
        <f t="shared" si="0"/>
        <v>29.469</v>
      </c>
      <c r="C282">
        <f t="shared" si="1"/>
        <v>28.149</v>
      </c>
      <c r="D282">
        <v>33</v>
      </c>
      <c r="E282">
        <f t="shared" si="2"/>
        <v>79.2</v>
      </c>
      <c r="F282">
        <f t="shared" si="3"/>
        <v>49.5</v>
      </c>
      <c r="G282" s="3">
        <f t="shared" si="4"/>
        <v>44</v>
      </c>
    </row>
    <row r="283" spans="1:7" ht="12.75">
      <c r="A283">
        <v>34</v>
      </c>
      <c r="B283">
        <f t="shared" si="0"/>
        <v>30.362000000000002</v>
      </c>
      <c r="C283">
        <f t="shared" si="1"/>
        <v>29.002</v>
      </c>
      <c r="D283">
        <v>34</v>
      </c>
      <c r="E283">
        <f t="shared" si="2"/>
        <v>81.6</v>
      </c>
      <c r="F283">
        <f t="shared" si="3"/>
        <v>50.99999999999999</v>
      </c>
      <c r="G283" s="3">
        <f t="shared" si="4"/>
        <v>45.33333333333333</v>
      </c>
    </row>
    <row r="284" spans="1:7" ht="12.75">
      <c r="A284">
        <v>35</v>
      </c>
      <c r="B284">
        <f t="shared" si="0"/>
        <v>31.255</v>
      </c>
      <c r="C284">
        <f t="shared" si="1"/>
        <v>29.855</v>
      </c>
      <c r="D284">
        <v>35</v>
      </c>
      <c r="E284">
        <f t="shared" si="2"/>
        <v>84</v>
      </c>
      <c r="F284">
        <f t="shared" si="3"/>
        <v>52.5</v>
      </c>
      <c r="G284" s="3">
        <f t="shared" si="4"/>
        <v>46.666666666666664</v>
      </c>
    </row>
    <row r="285" spans="1:7" ht="12.75">
      <c r="A285">
        <v>36</v>
      </c>
      <c r="B285">
        <f t="shared" si="0"/>
        <v>32.148</v>
      </c>
      <c r="C285">
        <f t="shared" si="1"/>
        <v>30.708</v>
      </c>
      <c r="D285">
        <v>36</v>
      </c>
      <c r="E285">
        <f t="shared" si="2"/>
        <v>86.39999999999999</v>
      </c>
      <c r="F285">
        <f t="shared" si="3"/>
        <v>53.99999999999999</v>
      </c>
      <c r="G285" s="3">
        <f t="shared" si="4"/>
        <v>47.99999999999999</v>
      </c>
    </row>
    <row r="286" spans="1:7" ht="12.75">
      <c r="A286">
        <v>37</v>
      </c>
      <c r="B286">
        <f t="shared" si="0"/>
        <v>33.041000000000004</v>
      </c>
      <c r="C286">
        <f t="shared" si="1"/>
        <v>31.561</v>
      </c>
      <c r="D286">
        <v>37</v>
      </c>
      <c r="E286">
        <f t="shared" si="2"/>
        <v>88.8</v>
      </c>
      <c r="F286">
        <f t="shared" si="3"/>
        <v>55.49999999999999</v>
      </c>
      <c r="G286" s="3">
        <f t="shared" si="4"/>
        <v>49.33333333333333</v>
      </c>
    </row>
    <row r="287" spans="1:7" ht="12.75">
      <c r="A287">
        <v>38</v>
      </c>
      <c r="B287">
        <f t="shared" si="0"/>
        <v>33.934</v>
      </c>
      <c r="C287">
        <f t="shared" si="1"/>
        <v>32.414</v>
      </c>
      <c r="D287">
        <v>38</v>
      </c>
      <c r="E287">
        <f t="shared" si="2"/>
        <v>91.2</v>
      </c>
      <c r="F287">
        <f t="shared" si="3"/>
        <v>57</v>
      </c>
      <c r="G287" s="3">
        <f t="shared" si="4"/>
        <v>50.666666666666664</v>
      </c>
    </row>
    <row r="288" spans="1:7" ht="12.75">
      <c r="A288">
        <v>39</v>
      </c>
      <c r="B288">
        <f t="shared" si="0"/>
        <v>34.827</v>
      </c>
      <c r="C288">
        <f t="shared" si="1"/>
        <v>33.266999999999996</v>
      </c>
      <c r="D288">
        <v>39</v>
      </c>
      <c r="E288">
        <f t="shared" si="2"/>
        <v>93.6</v>
      </c>
      <c r="F288">
        <f t="shared" si="3"/>
        <v>58.49999999999999</v>
      </c>
      <c r="G288" s="3">
        <f t="shared" si="4"/>
        <v>51.99999999999999</v>
      </c>
    </row>
    <row r="289" spans="1:7" ht="12.75">
      <c r="A289">
        <v>40</v>
      </c>
      <c r="B289">
        <f t="shared" si="0"/>
        <v>35.72</v>
      </c>
      <c r="C289">
        <f t="shared" si="1"/>
        <v>34.12</v>
      </c>
      <c r="D289">
        <v>40</v>
      </c>
      <c r="E289">
        <f t="shared" si="2"/>
        <v>96</v>
      </c>
      <c r="F289">
        <f t="shared" si="3"/>
        <v>60</v>
      </c>
      <c r="G289" s="3">
        <f t="shared" si="4"/>
        <v>53.33333333333333</v>
      </c>
    </row>
    <row r="290" spans="1:7" ht="12.75">
      <c r="A290">
        <v>41</v>
      </c>
      <c r="B290">
        <f t="shared" si="0"/>
        <v>36.613</v>
      </c>
      <c r="C290">
        <f t="shared" si="1"/>
        <v>34.973</v>
      </c>
      <c r="D290">
        <v>41</v>
      </c>
      <c r="E290">
        <f t="shared" si="2"/>
        <v>98.39999999999999</v>
      </c>
      <c r="F290">
        <f t="shared" si="3"/>
        <v>61.49999999999999</v>
      </c>
      <c r="G290" s="3">
        <f t="shared" si="4"/>
        <v>54.66666666666666</v>
      </c>
    </row>
    <row r="291" spans="1:7" ht="12.75">
      <c r="A291">
        <v>42</v>
      </c>
      <c r="B291">
        <f t="shared" si="0"/>
        <v>37.506</v>
      </c>
      <c r="C291">
        <f t="shared" si="1"/>
        <v>35.826</v>
      </c>
      <c r="D291">
        <v>42</v>
      </c>
      <c r="E291">
        <f t="shared" si="2"/>
        <v>100.8</v>
      </c>
      <c r="F291">
        <f t="shared" si="3"/>
        <v>62.99999999999999</v>
      </c>
      <c r="G291" s="3">
        <f t="shared" si="4"/>
        <v>56</v>
      </c>
    </row>
    <row r="292" spans="1:7" ht="12.75">
      <c r="A292">
        <v>43</v>
      </c>
      <c r="B292">
        <f t="shared" si="0"/>
        <v>38.399</v>
      </c>
      <c r="C292">
        <f t="shared" si="1"/>
        <v>36.679</v>
      </c>
      <c r="D292">
        <v>43</v>
      </c>
      <c r="E292">
        <f t="shared" si="2"/>
        <v>103.2</v>
      </c>
      <c r="F292">
        <f t="shared" si="3"/>
        <v>64.5</v>
      </c>
      <c r="G292" s="3">
        <f t="shared" si="4"/>
        <v>57.333333333333336</v>
      </c>
    </row>
    <row r="293" spans="1:7" ht="12.75">
      <c r="A293">
        <v>44</v>
      </c>
      <c r="B293">
        <f t="shared" si="0"/>
        <v>39.292</v>
      </c>
      <c r="C293">
        <f t="shared" si="1"/>
        <v>37.532</v>
      </c>
      <c r="D293">
        <v>44</v>
      </c>
      <c r="E293">
        <f t="shared" si="2"/>
        <v>105.6</v>
      </c>
      <c r="F293">
        <f t="shared" si="3"/>
        <v>65.99999999999999</v>
      </c>
      <c r="G293" s="3">
        <f t="shared" si="4"/>
        <v>58.666666666666664</v>
      </c>
    </row>
    <row r="294" spans="1:7" ht="12.75">
      <c r="A294">
        <v>45</v>
      </c>
      <c r="B294">
        <f t="shared" si="0"/>
        <v>40.185</v>
      </c>
      <c r="C294">
        <f t="shared" si="1"/>
        <v>38.385</v>
      </c>
      <c r="D294">
        <v>45</v>
      </c>
      <c r="E294">
        <f t="shared" si="2"/>
        <v>108</v>
      </c>
      <c r="F294">
        <f t="shared" si="3"/>
        <v>67.5</v>
      </c>
      <c r="G294" s="3">
        <f t="shared" si="4"/>
        <v>60</v>
      </c>
    </row>
    <row r="295" spans="1:7" ht="12.75">
      <c r="A295">
        <v>46</v>
      </c>
      <c r="B295">
        <f t="shared" si="0"/>
        <v>41.078</v>
      </c>
      <c r="C295">
        <f t="shared" si="1"/>
        <v>39.238</v>
      </c>
      <c r="D295">
        <v>46</v>
      </c>
      <c r="E295">
        <f t="shared" si="2"/>
        <v>110.39999999999999</v>
      </c>
      <c r="F295">
        <f t="shared" si="3"/>
        <v>68.99999999999999</v>
      </c>
      <c r="G295" s="3">
        <f t="shared" si="4"/>
        <v>61.33333333333333</v>
      </c>
    </row>
    <row r="296" spans="1:7" ht="12.75">
      <c r="A296">
        <v>47</v>
      </c>
      <c r="B296">
        <f t="shared" si="0"/>
        <v>41.971000000000004</v>
      </c>
      <c r="C296">
        <f t="shared" si="1"/>
        <v>40.091</v>
      </c>
      <c r="D296">
        <v>47</v>
      </c>
      <c r="E296">
        <f t="shared" si="2"/>
        <v>112.8</v>
      </c>
      <c r="F296">
        <f t="shared" si="3"/>
        <v>70.5</v>
      </c>
      <c r="G296" s="3">
        <f t="shared" si="4"/>
        <v>62.666666666666664</v>
      </c>
    </row>
    <row r="297" spans="1:7" ht="12.75">
      <c r="A297">
        <v>48</v>
      </c>
      <c r="B297">
        <f t="shared" si="0"/>
        <v>42.864000000000004</v>
      </c>
      <c r="C297">
        <f t="shared" si="1"/>
        <v>40.944</v>
      </c>
      <c r="D297">
        <v>48</v>
      </c>
      <c r="E297">
        <f t="shared" si="2"/>
        <v>115.19999999999999</v>
      </c>
      <c r="F297">
        <f t="shared" si="3"/>
        <v>71.99999999999999</v>
      </c>
      <c r="G297" s="3">
        <f t="shared" si="4"/>
        <v>63.99999999999999</v>
      </c>
    </row>
    <row r="298" spans="1:7" ht="12.75">
      <c r="A298">
        <v>49</v>
      </c>
      <c r="B298">
        <f t="shared" si="0"/>
        <v>43.757</v>
      </c>
      <c r="C298">
        <f t="shared" si="1"/>
        <v>41.797</v>
      </c>
      <c r="D298">
        <v>49</v>
      </c>
      <c r="E298">
        <f t="shared" si="2"/>
        <v>117.6</v>
      </c>
      <c r="F298">
        <f t="shared" si="3"/>
        <v>73.49999999999999</v>
      </c>
      <c r="G298" s="3">
        <f t="shared" si="4"/>
        <v>65.33333333333333</v>
      </c>
    </row>
    <row r="299" spans="1:7" ht="12.75">
      <c r="A299">
        <v>50</v>
      </c>
      <c r="B299">
        <f t="shared" si="0"/>
        <v>44.65</v>
      </c>
      <c r="C299">
        <f t="shared" si="1"/>
        <v>42.65</v>
      </c>
      <c r="D299">
        <v>50</v>
      </c>
      <c r="E299">
        <f t="shared" si="2"/>
        <v>120</v>
      </c>
      <c r="F299">
        <f t="shared" si="3"/>
        <v>75</v>
      </c>
      <c r="G299" s="3">
        <f t="shared" si="4"/>
        <v>66.66666666666667</v>
      </c>
    </row>
    <row r="301" ht="12.75">
      <c r="A301" s="1" t="s">
        <v>204</v>
      </c>
    </row>
    <row r="302" ht="12.75">
      <c r="B302" t="s">
        <v>205</v>
      </c>
    </row>
    <row r="303" ht="12.75">
      <c r="B303" t="s">
        <v>206</v>
      </c>
    </row>
    <row r="304" spans="2:8" ht="12.75">
      <c r="B304" s="188" t="s">
        <v>207</v>
      </c>
      <c r="C304" s="188"/>
      <c r="D304" s="188"/>
      <c r="F304" s="188" t="s">
        <v>208</v>
      </c>
      <c r="G304" s="188"/>
      <c r="H304" s="188"/>
    </row>
    <row r="305" spans="2:8" ht="12.75">
      <c r="B305" s="11" t="s">
        <v>200</v>
      </c>
      <c r="C305" s="12" t="s">
        <v>199</v>
      </c>
      <c r="D305" s="13" t="s">
        <v>183</v>
      </c>
      <c r="F305" s="11" t="s">
        <v>200</v>
      </c>
      <c r="G305" s="12" t="s">
        <v>199</v>
      </c>
      <c r="H305" s="13" t="s">
        <v>183</v>
      </c>
    </row>
    <row r="306" spans="1:8" ht="12.75">
      <c r="A306" s="14">
        <v>1</v>
      </c>
      <c r="B306" s="15">
        <v>0.5</v>
      </c>
      <c r="C306" s="16">
        <v>0.2</v>
      </c>
      <c r="D306" s="17">
        <v>0.3</v>
      </c>
      <c r="F306" s="15">
        <v>0.3</v>
      </c>
      <c r="G306" s="16">
        <v>0.2</v>
      </c>
      <c r="H306" s="17">
        <v>0.5</v>
      </c>
    </row>
    <row r="307" spans="1:8" ht="12.75">
      <c r="A307" s="18">
        <v>2</v>
      </c>
      <c r="B307" s="19">
        <v>1</v>
      </c>
      <c r="C307" s="20">
        <v>0.4</v>
      </c>
      <c r="D307" s="21">
        <v>0.6</v>
      </c>
      <c r="F307" s="19">
        <v>0.6</v>
      </c>
      <c r="G307" s="20">
        <v>0.4</v>
      </c>
      <c r="H307" s="21">
        <v>1</v>
      </c>
    </row>
    <row r="308" spans="1:8" ht="12.75">
      <c r="A308" s="18">
        <v>3</v>
      </c>
      <c r="B308" s="19">
        <v>1.5</v>
      </c>
      <c r="C308" s="20">
        <v>0.6</v>
      </c>
      <c r="D308" s="21">
        <v>0.9</v>
      </c>
      <c r="F308" s="19">
        <v>0.9</v>
      </c>
      <c r="G308" s="20">
        <v>0.6</v>
      </c>
      <c r="H308" s="21">
        <v>1.5</v>
      </c>
    </row>
    <row r="309" spans="1:8" ht="12.75">
      <c r="A309" s="18">
        <v>4</v>
      </c>
      <c r="B309" s="19">
        <v>2</v>
      </c>
      <c r="C309" s="20">
        <v>0.8</v>
      </c>
      <c r="D309" s="21">
        <v>1.2</v>
      </c>
      <c r="F309" s="19">
        <v>1.2</v>
      </c>
      <c r="G309" s="20">
        <v>0.8</v>
      </c>
      <c r="H309" s="21">
        <v>2</v>
      </c>
    </row>
    <row r="310" spans="1:8" ht="12.75">
      <c r="A310" s="18">
        <v>5</v>
      </c>
      <c r="B310" s="19">
        <v>2.5</v>
      </c>
      <c r="C310" s="20">
        <v>1</v>
      </c>
      <c r="D310" s="21">
        <v>1.5</v>
      </c>
      <c r="F310" s="19">
        <v>1.5</v>
      </c>
      <c r="G310" s="20">
        <v>1</v>
      </c>
      <c r="H310" s="21">
        <v>2.5</v>
      </c>
    </row>
    <row r="311" spans="1:8" ht="12.75">
      <c r="A311" s="18">
        <v>6</v>
      </c>
      <c r="B311" s="19">
        <v>3</v>
      </c>
      <c r="C311" s="20">
        <v>1.2</v>
      </c>
      <c r="D311" s="21">
        <v>1.8</v>
      </c>
      <c r="F311" s="19">
        <v>1.8</v>
      </c>
      <c r="G311" s="20">
        <v>1.2</v>
      </c>
      <c r="H311" s="21">
        <v>3</v>
      </c>
    </row>
    <row r="312" spans="1:8" ht="12.75">
      <c r="A312" s="18">
        <v>7</v>
      </c>
      <c r="B312" s="19">
        <v>3.5</v>
      </c>
      <c r="C312" s="20">
        <v>1.4</v>
      </c>
      <c r="D312" s="21">
        <v>2.1</v>
      </c>
      <c r="F312" s="19">
        <v>2.1</v>
      </c>
      <c r="G312" s="20">
        <v>1.4</v>
      </c>
      <c r="H312" s="21">
        <v>3.5</v>
      </c>
    </row>
    <row r="313" spans="1:8" ht="12.75">
      <c r="A313" s="18">
        <v>8</v>
      </c>
      <c r="B313" s="19">
        <v>4</v>
      </c>
      <c r="C313" s="20">
        <v>1.6</v>
      </c>
      <c r="D313" s="21">
        <v>2.4</v>
      </c>
      <c r="F313" s="19">
        <v>2.4</v>
      </c>
      <c r="G313" s="20">
        <v>1.6</v>
      </c>
      <c r="H313" s="21">
        <v>4</v>
      </c>
    </row>
    <row r="314" spans="1:8" ht="12.75">
      <c r="A314" s="18">
        <v>9</v>
      </c>
      <c r="B314" s="19">
        <v>4.5</v>
      </c>
      <c r="C314" s="20">
        <v>1.8</v>
      </c>
      <c r="D314" s="21">
        <v>2.7</v>
      </c>
      <c r="F314" s="19">
        <v>2.7</v>
      </c>
      <c r="G314" s="20">
        <v>1.8</v>
      </c>
      <c r="H314" s="21">
        <v>4.5</v>
      </c>
    </row>
    <row r="315" spans="1:8" ht="12.75">
      <c r="A315" s="18">
        <v>10</v>
      </c>
      <c r="B315" s="19">
        <v>5</v>
      </c>
      <c r="C315" s="20">
        <v>2</v>
      </c>
      <c r="D315" s="21">
        <v>3</v>
      </c>
      <c r="F315" s="19">
        <v>3</v>
      </c>
      <c r="G315" s="20">
        <v>2</v>
      </c>
      <c r="H315" s="21">
        <v>5</v>
      </c>
    </row>
    <row r="316" spans="1:8" ht="12.75">
      <c r="A316" s="18">
        <v>11</v>
      </c>
      <c r="B316" s="19">
        <v>5.5</v>
      </c>
      <c r="C316" s="20">
        <v>2.2</v>
      </c>
      <c r="D316" s="21">
        <v>3.3</v>
      </c>
      <c r="F316" s="19">
        <v>3.3</v>
      </c>
      <c r="G316" s="20">
        <v>2.2</v>
      </c>
      <c r="H316" s="21">
        <v>5.5</v>
      </c>
    </row>
    <row r="317" spans="1:8" ht="12.75">
      <c r="A317" s="18">
        <v>12</v>
      </c>
      <c r="B317" s="19">
        <v>6</v>
      </c>
      <c r="C317" s="20">
        <v>2.4</v>
      </c>
      <c r="D317" s="21">
        <v>3.6</v>
      </c>
      <c r="F317" s="19">
        <v>3.6</v>
      </c>
      <c r="G317" s="20">
        <v>2.4</v>
      </c>
      <c r="H317" s="21">
        <v>6</v>
      </c>
    </row>
    <row r="318" spans="1:8" ht="12.75">
      <c r="A318" s="18">
        <v>13</v>
      </c>
      <c r="B318" s="19">
        <v>6.5</v>
      </c>
      <c r="C318" s="20">
        <v>2.6</v>
      </c>
      <c r="D318" s="21">
        <v>3.9</v>
      </c>
      <c r="F318" s="19">
        <v>3.9</v>
      </c>
      <c r="G318" s="20">
        <v>2.6</v>
      </c>
      <c r="H318" s="21">
        <v>6.5</v>
      </c>
    </row>
    <row r="319" spans="1:8" ht="12.75">
      <c r="A319" s="18">
        <v>14</v>
      </c>
      <c r="B319" s="19">
        <v>7</v>
      </c>
      <c r="C319" s="20">
        <v>2.8</v>
      </c>
      <c r="D319" s="21">
        <v>4.2</v>
      </c>
      <c r="F319" s="19">
        <v>4.2</v>
      </c>
      <c r="G319" s="20">
        <v>2.8</v>
      </c>
      <c r="H319" s="21">
        <v>7</v>
      </c>
    </row>
    <row r="320" spans="1:8" ht="12.75">
      <c r="A320" s="18">
        <v>15</v>
      </c>
      <c r="B320" s="19">
        <v>7.5</v>
      </c>
      <c r="C320" s="20">
        <v>3</v>
      </c>
      <c r="D320" s="21">
        <v>4.5</v>
      </c>
      <c r="F320" s="19">
        <v>4.5</v>
      </c>
      <c r="G320" s="20">
        <v>3</v>
      </c>
      <c r="H320" s="21">
        <v>7.5</v>
      </c>
    </row>
    <row r="321" spans="1:8" ht="12.75">
      <c r="A321" s="18">
        <v>16</v>
      </c>
      <c r="B321" s="19">
        <v>8</v>
      </c>
      <c r="C321" s="20">
        <v>3.2</v>
      </c>
      <c r="D321" s="21">
        <v>4.8</v>
      </c>
      <c r="F321" s="19">
        <v>4.8</v>
      </c>
      <c r="G321" s="20">
        <v>3.2</v>
      </c>
      <c r="H321" s="21">
        <v>8</v>
      </c>
    </row>
    <row r="322" spans="1:8" ht="12.75">
      <c r="A322" s="18">
        <v>17</v>
      </c>
      <c r="B322" s="19">
        <v>8.5</v>
      </c>
      <c r="C322" s="20">
        <v>3.4</v>
      </c>
      <c r="D322" s="21">
        <v>5.1</v>
      </c>
      <c r="F322" s="19">
        <v>5.1</v>
      </c>
      <c r="G322" s="20">
        <v>3.4</v>
      </c>
      <c r="H322" s="21">
        <v>8.5</v>
      </c>
    </row>
    <row r="323" spans="1:8" ht="12.75">
      <c r="A323" s="18">
        <v>18</v>
      </c>
      <c r="B323" s="19">
        <v>9</v>
      </c>
      <c r="C323" s="20">
        <v>3.6</v>
      </c>
      <c r="D323" s="21">
        <v>5.4</v>
      </c>
      <c r="F323" s="19">
        <v>5.4</v>
      </c>
      <c r="G323" s="20">
        <v>3.6</v>
      </c>
      <c r="H323" s="21">
        <v>9</v>
      </c>
    </row>
    <row r="324" spans="1:8" ht="12.75">
      <c r="A324" s="18">
        <v>19</v>
      </c>
      <c r="B324" s="19">
        <v>9.5</v>
      </c>
      <c r="C324" s="20">
        <v>3.8</v>
      </c>
      <c r="D324" s="21">
        <v>5.7</v>
      </c>
      <c r="F324" s="19">
        <v>5.7</v>
      </c>
      <c r="G324" s="20">
        <v>3.8</v>
      </c>
      <c r="H324" s="21">
        <v>9.5</v>
      </c>
    </row>
    <row r="325" spans="1:8" ht="12.75">
      <c r="A325" s="18">
        <v>20</v>
      </c>
      <c r="B325" s="19">
        <v>10</v>
      </c>
      <c r="C325" s="20">
        <v>4</v>
      </c>
      <c r="D325" s="21">
        <v>6</v>
      </c>
      <c r="F325" s="19">
        <v>6</v>
      </c>
      <c r="G325" s="20">
        <v>4</v>
      </c>
      <c r="H325" s="21">
        <v>10</v>
      </c>
    </row>
    <row r="326" spans="1:8" ht="12.75">
      <c r="A326" s="18">
        <v>21</v>
      </c>
      <c r="B326" s="19">
        <v>10.5</v>
      </c>
      <c r="C326" s="20">
        <v>4.2</v>
      </c>
      <c r="D326" s="21">
        <v>6.3</v>
      </c>
      <c r="F326" s="19">
        <v>6.3</v>
      </c>
      <c r="G326" s="20">
        <v>4.2</v>
      </c>
      <c r="H326" s="21">
        <v>10.5</v>
      </c>
    </row>
    <row r="327" spans="1:9" ht="12.75">
      <c r="A327" s="18">
        <v>22</v>
      </c>
      <c r="B327" s="19">
        <v>11</v>
      </c>
      <c r="C327" s="20">
        <v>4.4</v>
      </c>
      <c r="D327" s="21">
        <v>6.6</v>
      </c>
      <c r="F327" s="19">
        <v>6.6</v>
      </c>
      <c r="G327" s="20">
        <v>4.4</v>
      </c>
      <c r="H327" s="21">
        <v>11</v>
      </c>
      <c r="I327" s="8" t="s">
        <v>458</v>
      </c>
    </row>
    <row r="328" spans="1:8" ht="12.75">
      <c r="A328" s="18">
        <v>23</v>
      </c>
      <c r="B328" s="19">
        <v>11.5</v>
      </c>
      <c r="C328" s="20">
        <v>4.6</v>
      </c>
      <c r="D328" s="21">
        <v>6.9</v>
      </c>
      <c r="F328" s="19">
        <v>6.9</v>
      </c>
      <c r="G328" s="20">
        <v>4.6</v>
      </c>
      <c r="H328" s="21">
        <v>11.5</v>
      </c>
    </row>
    <row r="329" spans="1:8" ht="12.75">
      <c r="A329" s="18">
        <v>24</v>
      </c>
      <c r="B329" s="19">
        <v>12</v>
      </c>
      <c r="C329" s="20">
        <v>4.8</v>
      </c>
      <c r="D329" s="21">
        <v>7.2</v>
      </c>
      <c r="F329" s="19">
        <v>7.2</v>
      </c>
      <c r="G329" s="20">
        <v>4.8</v>
      </c>
      <c r="H329" s="21">
        <v>12</v>
      </c>
    </row>
    <row r="330" spans="1:8" ht="12.75">
      <c r="A330" s="18">
        <v>25</v>
      </c>
      <c r="B330" s="19">
        <v>12.5</v>
      </c>
      <c r="C330" s="20">
        <v>5</v>
      </c>
      <c r="D330" s="21">
        <v>7.5</v>
      </c>
      <c r="F330" s="19">
        <v>7.5</v>
      </c>
      <c r="G330" s="20">
        <v>5</v>
      </c>
      <c r="H330" s="21">
        <v>12.5</v>
      </c>
    </row>
    <row r="331" spans="1:8" ht="12.75">
      <c r="A331" s="18">
        <v>26</v>
      </c>
      <c r="B331" s="19">
        <v>13</v>
      </c>
      <c r="C331" s="20">
        <v>5.2</v>
      </c>
      <c r="D331" s="21">
        <v>7.8</v>
      </c>
      <c r="F331" s="19">
        <v>7.8</v>
      </c>
      <c r="G331" s="20">
        <v>5.2</v>
      </c>
      <c r="H331" s="21">
        <v>13</v>
      </c>
    </row>
    <row r="332" spans="1:8" ht="12.75">
      <c r="A332" s="18">
        <v>27</v>
      </c>
      <c r="B332" s="19">
        <v>13.5</v>
      </c>
      <c r="C332" s="20">
        <v>5.4</v>
      </c>
      <c r="D332" s="21">
        <v>8.1</v>
      </c>
      <c r="F332" s="19">
        <v>8.1</v>
      </c>
      <c r="G332" s="20">
        <v>5.4</v>
      </c>
      <c r="H332" s="21">
        <v>13.5</v>
      </c>
    </row>
    <row r="333" spans="1:8" ht="12.75">
      <c r="A333" s="18">
        <v>28</v>
      </c>
      <c r="B333" s="19">
        <v>14</v>
      </c>
      <c r="C333" s="20">
        <v>5.6</v>
      </c>
      <c r="D333" s="21">
        <v>8.4</v>
      </c>
      <c r="F333" s="19">
        <v>8.4</v>
      </c>
      <c r="G333" s="20">
        <v>5.6</v>
      </c>
      <c r="H333" s="21">
        <v>14</v>
      </c>
    </row>
    <row r="334" spans="1:8" ht="12.75">
      <c r="A334" s="18">
        <v>29</v>
      </c>
      <c r="B334" s="19">
        <v>14.5</v>
      </c>
      <c r="C334" s="20">
        <v>5.8</v>
      </c>
      <c r="D334" s="21">
        <v>8.7</v>
      </c>
      <c r="F334" s="19">
        <v>8.7</v>
      </c>
      <c r="G334" s="20">
        <v>5.8</v>
      </c>
      <c r="H334" s="21">
        <v>14.5</v>
      </c>
    </row>
    <row r="335" spans="1:8" ht="12.75">
      <c r="A335" s="18">
        <v>30</v>
      </c>
      <c r="B335" s="19">
        <v>15</v>
      </c>
      <c r="C335" s="20">
        <v>6</v>
      </c>
      <c r="D335" s="21">
        <v>9</v>
      </c>
      <c r="F335" s="19">
        <v>9</v>
      </c>
      <c r="G335" s="20">
        <v>6</v>
      </c>
      <c r="H335" s="21">
        <v>15</v>
      </c>
    </row>
    <row r="336" spans="1:8" ht="12.75">
      <c r="A336" s="18">
        <v>31</v>
      </c>
      <c r="B336" s="19">
        <v>15.5</v>
      </c>
      <c r="C336" s="20">
        <v>6.2</v>
      </c>
      <c r="D336" s="21">
        <v>9.3</v>
      </c>
      <c r="F336" s="19">
        <v>9.3</v>
      </c>
      <c r="G336" s="20">
        <v>6.2</v>
      </c>
      <c r="H336" s="21">
        <v>15.5</v>
      </c>
    </row>
    <row r="337" spans="1:8" ht="12.75">
      <c r="A337" s="18">
        <v>32</v>
      </c>
      <c r="B337" s="19">
        <v>16</v>
      </c>
      <c r="C337" s="20">
        <v>6.4</v>
      </c>
      <c r="D337" s="21">
        <v>9.6</v>
      </c>
      <c r="F337" s="19">
        <v>9.6</v>
      </c>
      <c r="G337" s="20">
        <v>6.4</v>
      </c>
      <c r="H337" s="21">
        <v>16</v>
      </c>
    </row>
    <row r="338" spans="1:8" ht="12.75">
      <c r="A338" s="18">
        <v>33</v>
      </c>
      <c r="B338" s="19">
        <v>16.5</v>
      </c>
      <c r="C338" s="20">
        <v>6.6</v>
      </c>
      <c r="D338" s="21">
        <v>9.9</v>
      </c>
      <c r="F338" s="19">
        <v>9.9</v>
      </c>
      <c r="G338" s="20">
        <v>6.6</v>
      </c>
      <c r="H338" s="21">
        <v>16.5</v>
      </c>
    </row>
    <row r="339" spans="1:8" ht="12.75">
      <c r="A339" s="18">
        <v>34</v>
      </c>
      <c r="B339" s="19">
        <v>17</v>
      </c>
      <c r="C339" s="20">
        <v>6.8</v>
      </c>
      <c r="D339" s="21">
        <v>10.2</v>
      </c>
      <c r="F339" s="19">
        <v>10.2</v>
      </c>
      <c r="G339" s="20">
        <v>6.8</v>
      </c>
      <c r="H339" s="21">
        <v>17</v>
      </c>
    </row>
    <row r="340" spans="1:8" ht="12.75">
      <c r="A340" s="18">
        <v>35</v>
      </c>
      <c r="B340" s="19">
        <v>17.5</v>
      </c>
      <c r="C340" s="20">
        <v>7</v>
      </c>
      <c r="D340" s="21">
        <v>10.5</v>
      </c>
      <c r="F340" s="19">
        <v>10.5</v>
      </c>
      <c r="G340" s="20">
        <v>7</v>
      </c>
      <c r="H340" s="21">
        <v>17.5</v>
      </c>
    </row>
    <row r="341" spans="1:8" ht="12.75">
      <c r="A341" s="18">
        <v>36</v>
      </c>
      <c r="B341" s="19">
        <v>18</v>
      </c>
      <c r="C341" s="20">
        <v>7.2</v>
      </c>
      <c r="D341" s="21">
        <v>10.8</v>
      </c>
      <c r="F341" s="19">
        <v>10.8</v>
      </c>
      <c r="G341" s="20">
        <v>7.2</v>
      </c>
      <c r="H341" s="21">
        <v>18</v>
      </c>
    </row>
    <row r="342" spans="1:8" ht="12.75">
      <c r="A342" s="18">
        <v>37</v>
      </c>
      <c r="B342" s="19">
        <v>18.5</v>
      </c>
      <c r="C342" s="20">
        <v>7.4</v>
      </c>
      <c r="D342" s="21">
        <v>11.1</v>
      </c>
      <c r="F342" s="19">
        <v>11.1</v>
      </c>
      <c r="G342" s="20">
        <v>7.4</v>
      </c>
      <c r="H342" s="21">
        <v>18.5</v>
      </c>
    </row>
    <row r="343" spans="1:8" ht="12.75">
      <c r="A343" s="18">
        <v>38</v>
      </c>
      <c r="B343" s="19">
        <v>19</v>
      </c>
      <c r="C343" s="20">
        <v>7.6</v>
      </c>
      <c r="D343" s="21">
        <v>11.4</v>
      </c>
      <c r="F343" s="19">
        <v>11.4</v>
      </c>
      <c r="G343" s="20">
        <v>7.6</v>
      </c>
      <c r="H343" s="21">
        <v>19</v>
      </c>
    </row>
    <row r="344" spans="1:8" ht="12.75">
      <c r="A344" s="18">
        <v>39</v>
      </c>
      <c r="B344" s="19">
        <v>19.5</v>
      </c>
      <c r="C344" s="20">
        <v>7.8</v>
      </c>
      <c r="D344" s="21">
        <v>11.7</v>
      </c>
      <c r="F344" s="19">
        <v>11.7</v>
      </c>
      <c r="G344" s="20">
        <v>7.8</v>
      </c>
      <c r="H344" s="21">
        <v>19.5</v>
      </c>
    </row>
    <row r="345" spans="1:8" ht="12.75">
      <c r="A345" s="18">
        <v>40</v>
      </c>
      <c r="B345" s="19">
        <v>20</v>
      </c>
      <c r="C345" s="20">
        <v>8</v>
      </c>
      <c r="D345" s="21">
        <v>12</v>
      </c>
      <c r="F345" s="19">
        <v>12</v>
      </c>
      <c r="G345" s="20">
        <v>8</v>
      </c>
      <c r="H345" s="21">
        <v>20</v>
      </c>
    </row>
    <row r="346" spans="1:8" ht="12.75">
      <c r="A346" s="18">
        <v>41</v>
      </c>
      <c r="B346" s="19">
        <v>20.5</v>
      </c>
      <c r="C346" s="20">
        <v>8.2</v>
      </c>
      <c r="D346" s="21">
        <v>12.3</v>
      </c>
      <c r="F346" s="19">
        <v>12.3</v>
      </c>
      <c r="G346" s="20">
        <v>8.2</v>
      </c>
      <c r="H346" s="21">
        <v>20.5</v>
      </c>
    </row>
    <row r="347" spans="1:8" ht="12.75">
      <c r="A347" s="18">
        <v>42</v>
      </c>
      <c r="B347" s="19">
        <v>21</v>
      </c>
      <c r="C347" s="20">
        <v>8.4</v>
      </c>
      <c r="D347" s="21">
        <v>12.6</v>
      </c>
      <c r="F347" s="19">
        <v>12.6</v>
      </c>
      <c r="G347" s="20">
        <v>8.4</v>
      </c>
      <c r="H347" s="21">
        <v>21</v>
      </c>
    </row>
    <row r="348" spans="1:8" ht="12.75">
      <c r="A348" s="18">
        <v>43</v>
      </c>
      <c r="B348" s="19">
        <v>21.5</v>
      </c>
      <c r="C348" s="20">
        <v>8.6</v>
      </c>
      <c r="D348" s="21">
        <v>12.9</v>
      </c>
      <c r="F348" s="19">
        <v>12.9</v>
      </c>
      <c r="G348" s="20">
        <v>8.6</v>
      </c>
      <c r="H348" s="21">
        <v>21.5</v>
      </c>
    </row>
    <row r="349" spans="1:8" ht="12.75">
      <c r="A349" s="18">
        <v>44</v>
      </c>
      <c r="B349" s="19">
        <v>22</v>
      </c>
      <c r="C349" s="20">
        <v>8.8</v>
      </c>
      <c r="D349" s="21">
        <v>13.2</v>
      </c>
      <c r="F349" s="19">
        <v>13.2</v>
      </c>
      <c r="G349" s="20">
        <v>8.8</v>
      </c>
      <c r="H349" s="21">
        <v>22</v>
      </c>
    </row>
    <row r="350" spans="1:8" ht="12.75">
      <c r="A350" s="18">
        <v>45</v>
      </c>
      <c r="B350" s="19">
        <v>22.5</v>
      </c>
      <c r="C350" s="20">
        <v>9</v>
      </c>
      <c r="D350" s="21">
        <v>13.5</v>
      </c>
      <c r="F350" s="19">
        <v>13.5</v>
      </c>
      <c r="G350" s="20">
        <v>9</v>
      </c>
      <c r="H350" s="21">
        <v>22.5</v>
      </c>
    </row>
    <row r="351" spans="1:8" ht="12.75">
      <c r="A351" s="18">
        <v>46</v>
      </c>
      <c r="B351" s="19">
        <v>23</v>
      </c>
      <c r="C351" s="20">
        <v>9.2</v>
      </c>
      <c r="D351" s="21">
        <v>13.8</v>
      </c>
      <c r="F351" s="19">
        <v>13.8</v>
      </c>
      <c r="G351" s="20">
        <v>9.2</v>
      </c>
      <c r="H351" s="21">
        <v>23</v>
      </c>
    </row>
    <row r="352" spans="1:8" ht="12.75">
      <c r="A352" s="18">
        <v>47</v>
      </c>
      <c r="B352" s="19">
        <v>23.5</v>
      </c>
      <c r="C352" s="20">
        <v>9.4</v>
      </c>
      <c r="D352" s="21">
        <v>14.1</v>
      </c>
      <c r="F352" s="19">
        <v>14.1</v>
      </c>
      <c r="G352" s="20">
        <v>9.4</v>
      </c>
      <c r="H352" s="21">
        <v>23.5</v>
      </c>
    </row>
    <row r="353" spans="1:8" ht="12.75">
      <c r="A353" s="18">
        <v>48</v>
      </c>
      <c r="B353" s="19">
        <v>24</v>
      </c>
      <c r="C353" s="20">
        <v>9.6</v>
      </c>
      <c r="D353" s="21">
        <v>14.4</v>
      </c>
      <c r="F353" s="19">
        <v>14.4</v>
      </c>
      <c r="G353" s="20">
        <v>9.6</v>
      </c>
      <c r="H353" s="21">
        <v>24</v>
      </c>
    </row>
    <row r="354" spans="1:8" ht="12.75">
      <c r="A354" s="18">
        <v>49</v>
      </c>
      <c r="B354" s="19">
        <v>24.5</v>
      </c>
      <c r="C354" s="20">
        <v>9.8</v>
      </c>
      <c r="D354" s="21">
        <v>14.7</v>
      </c>
      <c r="F354" s="19">
        <v>14.7</v>
      </c>
      <c r="G354" s="20">
        <v>9.8</v>
      </c>
      <c r="H354" s="21">
        <v>24.5</v>
      </c>
    </row>
    <row r="355" spans="1:8" ht="12.75">
      <c r="A355" s="22">
        <v>50</v>
      </c>
      <c r="B355" s="23">
        <v>25</v>
      </c>
      <c r="C355" s="24">
        <v>10</v>
      </c>
      <c r="D355" s="25">
        <v>15</v>
      </c>
      <c r="F355" s="23">
        <v>15</v>
      </c>
      <c r="G355" s="24">
        <v>10</v>
      </c>
      <c r="H355" s="25">
        <v>25</v>
      </c>
    </row>
  </sheetData>
  <mergeCells count="8">
    <mergeCell ref="A145:F145"/>
    <mergeCell ref="B147:F147"/>
    <mergeCell ref="A177:F177"/>
    <mergeCell ref="B179:F179"/>
    <mergeCell ref="A212:F212"/>
    <mergeCell ref="B216:F216"/>
    <mergeCell ref="B304:D304"/>
    <mergeCell ref="F304:H30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dc:creator>
  <cp:keywords/>
  <dc:description/>
  <cp:lastModifiedBy>Etienne</cp:lastModifiedBy>
  <cp:lastPrinted>2001-12-27T11:49:18Z</cp:lastPrinted>
  <dcterms:created xsi:type="dcterms:W3CDTF">2001-12-17T03:16:51Z</dcterms:created>
  <dcterms:modified xsi:type="dcterms:W3CDTF">2008-11-30T08:32:49Z</dcterms:modified>
  <cp:category/>
  <cp:version/>
  <cp:contentType/>
  <cp:contentStatus/>
</cp:coreProperties>
</file>